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klient\Desktop\"/>
    </mc:Choice>
  </mc:AlternateContent>
  <bookViews>
    <workbookView xWindow="0" yWindow="0" windowWidth="15360" windowHeight="7155" tabRatio="611" activeTab="4"/>
  </bookViews>
  <sheets>
    <sheet name="Leden" sheetId="6" r:id="rId1"/>
    <sheet name="List1" sheetId="20" r:id="rId2"/>
    <sheet name="List2" sheetId="21" r:id="rId3"/>
    <sheet name="Únor" sheetId="9" r:id="rId4"/>
    <sheet name="Březen" sheetId="10" r:id="rId5"/>
    <sheet name="Duben" sheetId="11" r:id="rId6"/>
    <sheet name="Květen" sheetId="12" r:id="rId7"/>
    <sheet name="Červen" sheetId="13" r:id="rId8"/>
    <sheet name="Červenec" sheetId="14" r:id="rId9"/>
    <sheet name="Srpen" sheetId="15" r:id="rId10"/>
    <sheet name="Září" sheetId="16" r:id="rId11"/>
    <sheet name="Říjen" sheetId="17" r:id="rId12"/>
    <sheet name="Listopad" sheetId="18" r:id="rId13"/>
    <sheet name="Prosinec" sheetId="19" r:id="rId14"/>
  </sheets>
  <definedNames>
    <definedName name="BřezNe1">DATE(KalendářníRok,3,1)-WEEKDAY(DATE(KalendářníRok,3,1))+1</definedName>
    <definedName name="ČerNe1">DATE(KalendářníRok,6,1)-WEEKDAY(DATE(KalendářníRok,6,1))+1</definedName>
    <definedName name="ČvcNe1">DATE(KalendářníRok,7,1)-WEEKDAY(DATE(KalendářníRok,7,1))+1</definedName>
    <definedName name="DubNe1">DATE(KalendářníRok,4,1)-WEEKDAY(DATE(KalendářníRok,4,1))+1</definedName>
    <definedName name="KalendářníRok">Leden!$K$2</definedName>
    <definedName name="KvětNe1">DATE(KalendářníRok,5,1)-WEEKDAY(DATE(KalendářníRok,5,1))+1</definedName>
    <definedName name="LedNe1">DATE(KalendářníRok,1,1)-WEEKDAY(DATE(KalendářníRok,1,1))+1</definedName>
    <definedName name="ListNe1">DATE(KalendářníRok,11,1)-WEEKDAY(DATE(KalendářníRok,11,1))+1</definedName>
    <definedName name="_xlnm.Print_Area" localSheetId="4">Březen!$B$2:$J$16</definedName>
    <definedName name="_xlnm.Print_Area" localSheetId="7">Červen!$B$2:$J$16</definedName>
    <definedName name="_xlnm.Print_Area" localSheetId="8">Červenec!$B$2:$J$16</definedName>
    <definedName name="_xlnm.Print_Area" localSheetId="5">Duben!$B$2:$J$16</definedName>
    <definedName name="_xlnm.Print_Area" localSheetId="6">Květen!$B$2:$J$16</definedName>
    <definedName name="_xlnm.Print_Area" localSheetId="0">Leden!$B$2:$J$16</definedName>
    <definedName name="_xlnm.Print_Area" localSheetId="12">Listopad!$B$2:$J$16</definedName>
    <definedName name="_xlnm.Print_Area" localSheetId="13">Prosinec!$B$2:$J$16</definedName>
    <definedName name="_xlnm.Print_Area" localSheetId="11">Říjen!$B$2:$J$16</definedName>
    <definedName name="_xlnm.Print_Area" localSheetId="9">Srpen!$B$2:$J$16</definedName>
    <definedName name="_xlnm.Print_Area" localSheetId="3">Únor!$B$2:$J$16</definedName>
    <definedName name="_xlnm.Print_Area" localSheetId="10">Září!$B$2:$J$16</definedName>
    <definedName name="ProsNe1">DATE(KalendářníRok,12,1)-WEEKDAY(DATE(KalendářníRok,12,1))+1</definedName>
    <definedName name="ŘíjNe1">DATE(KalendářníRok,10,1)-WEEKDAY(DATE(KalendářníRok,10,1))+1</definedName>
    <definedName name="SrpNe1">DATE(KalendářníRok,8,1)-WEEKDAY(DATE(KalendářníRok,8,1))+1</definedName>
    <definedName name="ÚnorNe1">DATE(KalendářníRok,2,1)-WEEKDAY(DATE(KalendářníRok,2,1))+1</definedName>
    <definedName name="ZáříNe1">DATE(KalendářníRok,9,1)-WEEKDAY(DATE(KalendářníRok,9,1))+1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3" i="19" l="1"/>
  <c r="B3" i="18"/>
  <c r="B3" i="17"/>
  <c r="B3" i="16"/>
  <c r="B3" i="15"/>
  <c r="B3" i="14"/>
  <c r="B3" i="13"/>
  <c r="B3" i="12"/>
  <c r="B3" i="11"/>
  <c r="B3" i="10"/>
  <c r="B3" i="9"/>
  <c r="B3" i="6"/>
  <c r="B5" i="6" l="1"/>
  <c r="D5" i="6"/>
  <c r="C15" i="11" l="1"/>
  <c r="B15" i="11"/>
  <c r="H13" i="11"/>
  <c r="G13" i="11"/>
  <c r="F13" i="11"/>
  <c r="E13" i="11"/>
  <c r="D13" i="11"/>
  <c r="C13" i="11"/>
  <c r="B13" i="11"/>
  <c r="H11" i="11"/>
  <c r="G11" i="11"/>
  <c r="F11" i="11"/>
  <c r="E11" i="11"/>
  <c r="D11" i="11"/>
  <c r="C11" i="11"/>
  <c r="B11" i="11"/>
  <c r="H9" i="11"/>
  <c r="G9" i="11"/>
  <c r="F9" i="11"/>
  <c r="E9" i="11"/>
  <c r="D9" i="11"/>
  <c r="C9" i="11"/>
  <c r="B9" i="11"/>
  <c r="H7" i="11"/>
  <c r="G7" i="11"/>
  <c r="F7" i="11"/>
  <c r="E7" i="11"/>
  <c r="D7" i="11"/>
  <c r="C7" i="11"/>
  <c r="B7" i="11"/>
  <c r="H5" i="11"/>
  <c r="G5" i="11"/>
  <c r="F5" i="11"/>
  <c r="E5" i="11"/>
  <c r="D5" i="11"/>
  <c r="C5" i="11"/>
  <c r="B5" i="11"/>
  <c r="C15" i="12"/>
  <c r="B15" i="12"/>
  <c r="H13" i="12"/>
  <c r="G13" i="12"/>
  <c r="F13" i="12"/>
  <c r="E13" i="12"/>
  <c r="D13" i="12"/>
  <c r="C13" i="12"/>
  <c r="B13" i="12"/>
  <c r="H11" i="12"/>
  <c r="G11" i="12"/>
  <c r="F11" i="12"/>
  <c r="E11" i="12"/>
  <c r="D11" i="12"/>
  <c r="C11" i="12"/>
  <c r="B11" i="12"/>
  <c r="H9" i="12"/>
  <c r="G9" i="12"/>
  <c r="F9" i="12"/>
  <c r="E9" i="12"/>
  <c r="D9" i="12"/>
  <c r="C9" i="12"/>
  <c r="B9" i="12"/>
  <c r="H7" i="12"/>
  <c r="G7" i="12"/>
  <c r="F7" i="12"/>
  <c r="E7" i="12"/>
  <c r="D7" i="12"/>
  <c r="C7" i="12"/>
  <c r="B7" i="12"/>
  <c r="H5" i="12"/>
  <c r="G5" i="12"/>
  <c r="F5" i="12"/>
  <c r="E5" i="12"/>
  <c r="D5" i="12"/>
  <c r="C5" i="12"/>
  <c r="B5" i="12"/>
  <c r="C15" i="13"/>
  <c r="B15" i="13"/>
  <c r="H13" i="13"/>
  <c r="G13" i="13"/>
  <c r="F13" i="13"/>
  <c r="E13" i="13"/>
  <c r="D13" i="13"/>
  <c r="C13" i="13"/>
  <c r="B13" i="13"/>
  <c r="H11" i="13"/>
  <c r="G11" i="13"/>
  <c r="F11" i="13"/>
  <c r="E11" i="13"/>
  <c r="D11" i="13"/>
  <c r="C11" i="13"/>
  <c r="B11" i="13"/>
  <c r="H9" i="13"/>
  <c r="G9" i="13"/>
  <c r="F9" i="13"/>
  <c r="E9" i="13"/>
  <c r="D9" i="13"/>
  <c r="C9" i="13"/>
  <c r="B9" i="13"/>
  <c r="H7" i="13"/>
  <c r="G7" i="13"/>
  <c r="F7" i="13"/>
  <c r="E7" i="13"/>
  <c r="D7" i="13"/>
  <c r="C7" i="13"/>
  <c r="B7" i="13"/>
  <c r="H5" i="13"/>
  <c r="G5" i="13"/>
  <c r="F5" i="13"/>
  <c r="E5" i="13"/>
  <c r="D5" i="13"/>
  <c r="C5" i="13"/>
  <c r="B5" i="13"/>
  <c r="C15" i="14"/>
  <c r="B15" i="14"/>
  <c r="H13" i="14"/>
  <c r="G13" i="14"/>
  <c r="F13" i="14"/>
  <c r="E13" i="14"/>
  <c r="D13" i="14"/>
  <c r="C13" i="14"/>
  <c r="B13" i="14"/>
  <c r="H11" i="14"/>
  <c r="G11" i="14"/>
  <c r="F11" i="14"/>
  <c r="E11" i="14"/>
  <c r="D11" i="14"/>
  <c r="C11" i="14"/>
  <c r="B11" i="14"/>
  <c r="H9" i="14"/>
  <c r="G9" i="14"/>
  <c r="F9" i="14"/>
  <c r="E9" i="14"/>
  <c r="D9" i="14"/>
  <c r="C9" i="14"/>
  <c r="B9" i="14"/>
  <c r="H7" i="14"/>
  <c r="G7" i="14"/>
  <c r="F7" i="14"/>
  <c r="E7" i="14"/>
  <c r="D7" i="14"/>
  <c r="C7" i="14"/>
  <c r="B7" i="14"/>
  <c r="H5" i="14"/>
  <c r="G5" i="14"/>
  <c r="F5" i="14"/>
  <c r="E5" i="14"/>
  <c r="D5" i="14"/>
  <c r="C5" i="14"/>
  <c r="B5" i="14"/>
  <c r="C15" i="15"/>
  <c r="B15" i="15"/>
  <c r="H13" i="15"/>
  <c r="G13" i="15"/>
  <c r="F13" i="15"/>
  <c r="E13" i="15"/>
  <c r="D13" i="15"/>
  <c r="C13" i="15"/>
  <c r="B13" i="15"/>
  <c r="H11" i="15"/>
  <c r="G11" i="15"/>
  <c r="F11" i="15"/>
  <c r="E11" i="15"/>
  <c r="D11" i="15"/>
  <c r="C11" i="15"/>
  <c r="B11" i="15"/>
  <c r="H9" i="15"/>
  <c r="G9" i="15"/>
  <c r="F9" i="15"/>
  <c r="E9" i="15"/>
  <c r="D9" i="15"/>
  <c r="C9" i="15"/>
  <c r="B9" i="15"/>
  <c r="H7" i="15"/>
  <c r="G7" i="15"/>
  <c r="F7" i="15"/>
  <c r="E7" i="15"/>
  <c r="D7" i="15"/>
  <c r="C7" i="15"/>
  <c r="B7" i="15"/>
  <c r="H5" i="15"/>
  <c r="G5" i="15"/>
  <c r="F5" i="15"/>
  <c r="E5" i="15"/>
  <c r="D5" i="15"/>
  <c r="C5" i="15"/>
  <c r="B5" i="15"/>
  <c r="C15" i="16"/>
  <c r="B15" i="16"/>
  <c r="H13" i="16"/>
  <c r="G13" i="16"/>
  <c r="F13" i="16"/>
  <c r="E13" i="16"/>
  <c r="D13" i="16"/>
  <c r="C13" i="16"/>
  <c r="B13" i="16"/>
  <c r="H11" i="16"/>
  <c r="G11" i="16"/>
  <c r="F11" i="16"/>
  <c r="E11" i="16"/>
  <c r="D11" i="16"/>
  <c r="C11" i="16"/>
  <c r="B11" i="16"/>
  <c r="H9" i="16"/>
  <c r="G9" i="16"/>
  <c r="F9" i="16"/>
  <c r="E9" i="16"/>
  <c r="D9" i="16"/>
  <c r="C9" i="16"/>
  <c r="B9" i="16"/>
  <c r="H7" i="16"/>
  <c r="G7" i="16"/>
  <c r="F7" i="16"/>
  <c r="E7" i="16"/>
  <c r="D7" i="16"/>
  <c r="C7" i="16"/>
  <c r="B7" i="16"/>
  <c r="H5" i="16"/>
  <c r="G5" i="16"/>
  <c r="F5" i="16"/>
  <c r="E5" i="16"/>
  <c r="D5" i="16"/>
  <c r="C5" i="16"/>
  <c r="B5" i="16"/>
  <c r="C15" i="17"/>
  <c r="B15" i="17"/>
  <c r="H13" i="17"/>
  <c r="G13" i="17"/>
  <c r="F13" i="17"/>
  <c r="E13" i="17"/>
  <c r="D13" i="17"/>
  <c r="C13" i="17"/>
  <c r="B13" i="17"/>
  <c r="H11" i="17"/>
  <c r="G11" i="17"/>
  <c r="F11" i="17"/>
  <c r="E11" i="17"/>
  <c r="D11" i="17"/>
  <c r="C11" i="17"/>
  <c r="B11" i="17"/>
  <c r="H9" i="17"/>
  <c r="G9" i="17"/>
  <c r="F9" i="17"/>
  <c r="E9" i="17"/>
  <c r="D9" i="17"/>
  <c r="C9" i="17"/>
  <c r="B9" i="17"/>
  <c r="H7" i="17"/>
  <c r="G7" i="17"/>
  <c r="F7" i="17"/>
  <c r="E7" i="17"/>
  <c r="D7" i="17"/>
  <c r="C7" i="17"/>
  <c r="H5" i="17"/>
  <c r="G5" i="17"/>
  <c r="F5" i="17"/>
  <c r="E5" i="17"/>
  <c r="D5" i="17"/>
  <c r="C5" i="17"/>
  <c r="B5" i="17"/>
  <c r="C15" i="18"/>
  <c r="B15" i="18"/>
  <c r="H13" i="18"/>
  <c r="G13" i="18"/>
  <c r="F13" i="18"/>
  <c r="E13" i="18"/>
  <c r="D13" i="18"/>
  <c r="C13" i="18"/>
  <c r="B13" i="18"/>
  <c r="H11" i="18"/>
  <c r="G11" i="18"/>
  <c r="F11" i="18"/>
  <c r="E11" i="18"/>
  <c r="D11" i="18"/>
  <c r="C11" i="18"/>
  <c r="B11" i="18"/>
  <c r="H9" i="18"/>
  <c r="G9" i="18"/>
  <c r="F9" i="18"/>
  <c r="E9" i="18"/>
  <c r="D9" i="18"/>
  <c r="C9" i="18"/>
  <c r="B9" i="18"/>
  <c r="H7" i="18"/>
  <c r="G7" i="18"/>
  <c r="F7" i="18"/>
  <c r="E7" i="18"/>
  <c r="D7" i="18"/>
  <c r="C7" i="18"/>
  <c r="B7" i="18"/>
  <c r="H5" i="18"/>
  <c r="G5" i="18"/>
  <c r="F5" i="18"/>
  <c r="E5" i="18"/>
  <c r="D5" i="18"/>
  <c r="C5" i="18"/>
  <c r="B5" i="18"/>
  <c r="C15" i="19"/>
  <c r="B15" i="19"/>
  <c r="H13" i="19"/>
  <c r="G13" i="19"/>
  <c r="F13" i="19"/>
  <c r="E13" i="19"/>
  <c r="D13" i="19"/>
  <c r="C13" i="19"/>
  <c r="B13" i="19"/>
  <c r="H11" i="19"/>
  <c r="G11" i="19"/>
  <c r="F11" i="19"/>
  <c r="E11" i="19"/>
  <c r="D11" i="19"/>
  <c r="C11" i="19"/>
  <c r="B11" i="19"/>
  <c r="H9" i="19"/>
  <c r="G9" i="19"/>
  <c r="F9" i="19"/>
  <c r="E9" i="19"/>
  <c r="D9" i="19"/>
  <c r="C9" i="19"/>
  <c r="B9" i="19"/>
  <c r="H7" i="19"/>
  <c r="G7" i="19"/>
  <c r="F7" i="19"/>
  <c r="E7" i="19"/>
  <c r="D7" i="19"/>
  <c r="C7" i="19"/>
  <c r="B7" i="19"/>
  <c r="H5" i="19"/>
  <c r="G5" i="19"/>
  <c r="F5" i="19"/>
  <c r="E5" i="19"/>
  <c r="D5" i="19"/>
  <c r="C5" i="19"/>
  <c r="B5" i="19"/>
  <c r="C15" i="10"/>
  <c r="B15" i="10"/>
  <c r="H13" i="10"/>
  <c r="G13" i="10"/>
  <c r="F13" i="10"/>
  <c r="E13" i="10"/>
  <c r="D13" i="10"/>
  <c r="C13" i="10"/>
  <c r="B13" i="10"/>
  <c r="H11" i="10"/>
  <c r="G11" i="10"/>
  <c r="F11" i="10"/>
  <c r="E11" i="10"/>
  <c r="D11" i="10"/>
  <c r="C11" i="10"/>
  <c r="B11" i="10"/>
  <c r="H9" i="10"/>
  <c r="G9" i="10"/>
  <c r="F9" i="10"/>
  <c r="E9" i="10"/>
  <c r="D9" i="10"/>
  <c r="C9" i="10"/>
  <c r="B9" i="10"/>
  <c r="H7" i="10"/>
  <c r="G7" i="10"/>
  <c r="F7" i="10"/>
  <c r="E7" i="10"/>
  <c r="D7" i="10"/>
  <c r="C7" i="10"/>
  <c r="B7" i="10"/>
  <c r="H5" i="10"/>
  <c r="G5" i="10"/>
  <c r="F5" i="10"/>
  <c r="E5" i="10"/>
  <c r="D5" i="10"/>
  <c r="C5" i="10"/>
  <c r="B5" i="10"/>
  <c r="C15" i="9"/>
  <c r="B15" i="9"/>
  <c r="H13" i="9"/>
  <c r="G13" i="9"/>
  <c r="F13" i="9"/>
  <c r="E13" i="9"/>
  <c r="D13" i="9"/>
  <c r="C13" i="9"/>
  <c r="B13" i="9"/>
  <c r="H11" i="9"/>
  <c r="G11" i="9"/>
  <c r="F11" i="9"/>
  <c r="E11" i="9"/>
  <c r="D11" i="9"/>
  <c r="C11" i="9"/>
  <c r="B11" i="9"/>
  <c r="H9" i="9"/>
  <c r="G9" i="9"/>
  <c r="F9" i="9"/>
  <c r="E9" i="9"/>
  <c r="D9" i="9"/>
  <c r="C9" i="9"/>
  <c r="H7" i="9"/>
  <c r="G7" i="9"/>
  <c r="F7" i="9"/>
  <c r="E7" i="9"/>
  <c r="D7" i="9"/>
  <c r="C7" i="9"/>
  <c r="B7" i="9"/>
  <c r="H5" i="9"/>
  <c r="G5" i="9"/>
  <c r="F5" i="9"/>
  <c r="E5" i="9"/>
  <c r="D5" i="9"/>
  <c r="C5" i="9"/>
  <c r="B5" i="9"/>
  <c r="C15" i="6" l="1"/>
  <c r="C5" i="6" l="1"/>
  <c r="E5" i="6"/>
  <c r="F5" i="6"/>
  <c r="G5" i="6"/>
  <c r="H5" i="6"/>
  <c r="B7" i="6"/>
  <c r="C7" i="6"/>
  <c r="D7" i="6"/>
  <c r="E7" i="6"/>
  <c r="F7" i="6"/>
  <c r="G7" i="6"/>
  <c r="H7" i="6"/>
  <c r="B9" i="6"/>
  <c r="C9" i="6"/>
  <c r="D9" i="6"/>
  <c r="E9" i="6"/>
  <c r="F9" i="6"/>
  <c r="G9" i="6"/>
  <c r="H9" i="6"/>
  <c r="B11" i="6"/>
  <c r="C11" i="6"/>
  <c r="D11" i="6"/>
  <c r="E11" i="6"/>
  <c r="F11" i="6"/>
  <c r="G11" i="6"/>
  <c r="H11" i="6"/>
  <c r="B13" i="6"/>
  <c r="C13" i="6"/>
  <c r="D13" i="6"/>
  <c r="E13" i="6"/>
  <c r="F13" i="6"/>
  <c r="G13" i="6"/>
  <c r="H13" i="6"/>
  <c r="B15" i="6"/>
</calcChain>
</file>

<file path=xl/sharedStrings.xml><?xml version="1.0" encoding="utf-8"?>
<sst xmlns="http://schemas.openxmlformats.org/spreadsheetml/2006/main" count="214" uniqueCount="115">
  <si>
    <t>PONDĚLÍ</t>
  </si>
  <si>
    <t>ÚTERÝ</t>
  </si>
  <si>
    <t>STŘEDA</t>
  </si>
  <si>
    <t>ČTVRTEK</t>
  </si>
  <si>
    <t>PÁTEK</t>
  </si>
  <si>
    <t>SOBOTA</t>
  </si>
  <si>
    <t>NEDĚLE</t>
  </si>
  <si>
    <t>POZNÁMKY:</t>
  </si>
  <si>
    <t>VYBERTE ROK:</t>
  </si>
  <si>
    <t xml:space="preserve">Cesty Časem- velikonoční  expozice  v Bazilice. </t>
  </si>
  <si>
    <t xml:space="preserve">Nepřítomnost Jana Báňová- semináře Jihlava </t>
  </si>
  <si>
    <t xml:space="preserve">Maňáskové divadlo Štenberk  v MŠ Rokytnici - 3 pohádky </t>
  </si>
  <si>
    <t>Velký pátek - MŠ Uzavřena</t>
  </si>
  <si>
    <t>Velikonoční pondělí - MŠ Uzavřena</t>
  </si>
  <si>
    <t>Zápis dětí do ZŠ Čáslavice</t>
  </si>
  <si>
    <t>Seminář Inkluze- zúčastní se Jana Báňová a Mirka Bílková</t>
  </si>
  <si>
    <t>Seminář Inkluze- zúčastní se Jana Báńová a Mirka Bílková</t>
  </si>
  <si>
    <t>Divadlo Koník - jarní pohádka přímo v MŠ, 45 kč na dítě</t>
  </si>
  <si>
    <t>V tomto týdnu při hezkém počasí uklidíme zahradu cca od 14.30, prosíme o pomoc rodičů</t>
  </si>
  <si>
    <t xml:space="preserve">Na úklid zahrady si prosím přineste rukavice na sbírání odpadků, hrabě na hrabání. Popřípadě koště a lopatu. Občerstvení vám nabídneme přímo na zahradě. </t>
  </si>
  <si>
    <t>Hrkání po vsi</t>
  </si>
  <si>
    <t>ZOO koutek ke Dni Země v DDM Třebíč. 20 Kč na cestu, vstupne  0 Kč</t>
  </si>
  <si>
    <t>Rodičovská schůzka v MŠ v 16 hodin</t>
  </si>
  <si>
    <t>Čarodějnické dopoledne s opékáním  za starou školou</t>
  </si>
  <si>
    <t>1. Plavání</t>
  </si>
  <si>
    <t>Státní svátek- MŠ Uzavřena</t>
  </si>
  <si>
    <t>Tvoření rodičů a dětí ke  Dni matek, v 15.30 v KD, můžete si přinést skleničku na svícínek</t>
  </si>
  <si>
    <t>Školení Jihlava Báňová, Bílková, zatupuje p. Dokulilová Jana</t>
  </si>
  <si>
    <t>2. Plavání , odjezd v 8.00 od MŠ</t>
  </si>
  <si>
    <t>4. Plavání</t>
  </si>
  <si>
    <t>5. Plavání</t>
  </si>
  <si>
    <t xml:space="preserve">Dopravní hřiště Třebíč. Vybíráme 60 Kč. Batůžek, svačinu, pití a helmu sebou. </t>
  </si>
  <si>
    <t>Vítání občánků v KD v 14 hodin, prosím potvrďte učitelce účast vašeho dítěte.</t>
  </si>
  <si>
    <t>Nepřítomnost Báňová, botanická exkurze Rumunsko 18-21.5.2017</t>
  </si>
  <si>
    <t>Pohádková cesta DDM Třebíč,Odjezd 8.00 linkou, návrat 12.30 hod. Vybíráme 40 Kč.</t>
  </si>
  <si>
    <t xml:space="preserve">Houbový park. Odjezd v 7.00 od MŠ, návrat cca 13.00. Vybíráme 120 Kč program + 150 Kč cesta. </t>
  </si>
  <si>
    <t xml:space="preserve">Na výlet na dopravní hřiště i do Houbového parku, dejte dítěti do batůžku pláštěnku.  Do houbového parku je potřeba větší svačinku, obědvat budeme přibližně 13.15 hod. Tento den, nebude monžé si děti vyzvednout po obědě. Vyzvedněte děti cca 14 hodin. Tento den děti nebudou na lehátku. </t>
  </si>
  <si>
    <t>3.Plavání</t>
  </si>
  <si>
    <t>Začátek školního roku. Provozní doba  MŠ 6-15.30 hod</t>
  </si>
  <si>
    <t>Sportovní odpoledne v RS Březová</t>
  </si>
  <si>
    <t>Státní svátek - MŠ Uzavřena</t>
  </si>
  <si>
    <t>Koncem září se uskuteční drakiáda a první seminář pro rodiče.</t>
  </si>
  <si>
    <t xml:space="preserve">8.30-16.00 studium pro vedoucí pracovníky Bílková </t>
  </si>
  <si>
    <t xml:space="preserve">Drakiáda u staré školy  16.00 hodin, párek a draka sebou. </t>
  </si>
  <si>
    <t xml:space="preserve">Setkání seniorů. Vystoupení v 16.30 v KD, sraz v 16.15 v MŠ. </t>
  </si>
  <si>
    <t>Odborně zaměřená tématická setkávání, seminář MUDr. Jaroslav Belvončík v 16.00 v MŠ</t>
  </si>
  <si>
    <t>2.</t>
  </si>
  <si>
    <t xml:space="preserve">Téma: HOUBY. V tomto týdnu půjdeme do lesa na houby dle počasí. Děti mohou mít košík. </t>
  </si>
  <si>
    <t>P. Báňová- Bubenický workshop Třebíč 13.00- 16.00</t>
  </si>
  <si>
    <t>p. Báňová, konference "Společně za zdravější klima ve škole" Jihlava 9.00- 15.15</t>
  </si>
  <si>
    <t>p.Báňová , seminář "Reforma financování regionálního školství", Jihlava  12.00</t>
  </si>
  <si>
    <t>p.Báňová: pracovní setkání ředitelů ZŠ a MŠ Třebíč v 9.00</t>
  </si>
  <si>
    <t>p. Báńová a p. Bílková 2. modul semináře Jihlava, zástup R. Weidenthalerová</t>
  </si>
  <si>
    <t>Státní svátek</t>
  </si>
  <si>
    <t>Divadlo Pasáž "Ať žijí strašidla". Odjezd 7.05 linkou. Batůžek, pití, svačinu s sebou.</t>
  </si>
  <si>
    <t>Vyšetření zraku 11.15 Seminář Jihlava Báňová, Bílková: "Specifika práce s dvouletými dětmi"</t>
  </si>
  <si>
    <t xml:space="preserve">Miniškolička Čáslavice pro předškolní děti, batůžek a 4 Kč s sebou. </t>
  </si>
  <si>
    <t xml:space="preserve">Vánoční focení s Karlou Melovskou v 8.30 v MŠ </t>
  </si>
  <si>
    <t>Hvězdárna Třebíč, porgram o slunci. Odjezd v 7.05 linkou. Vybíráme 40 Kč</t>
  </si>
  <si>
    <t xml:space="preserve">Logopedická depistáž v MŠ </t>
  </si>
  <si>
    <t>Seminář Třebíč "Osobnostní rozvoj" zúčastní se Báňová, Bílková                   8.00-15.00</t>
  </si>
  <si>
    <t>Seminář Třebíč "Osobnostní rozvoj", zúčastní se Báňová, Bílková                   8.00-15.00</t>
  </si>
  <si>
    <t xml:space="preserve">Vítání občánků ve 14 hodin  na obci, bude se vítat David Jelínek </t>
  </si>
  <si>
    <t>Logopedický seminář pro rodiče hrazen z OP VVV. Začátek 16.00 v MŠ. Lektoruje MUDr. Tesfaye</t>
  </si>
  <si>
    <t>Seminář pro rodiče z OP VVV "Školní zralost dětí", v 16.00 v MŠ, lektrouje pan Helštýn (Všesportík)</t>
  </si>
  <si>
    <t>Kouzelník v MŠ Markvartice. Odjezd 7.30 od MŠ. Vybíráme   80 Kč ( 50+30 cesta)</t>
  </si>
  <si>
    <t>Báňová a Bílková 3. modul  semináře Jihlava, zástup R. Weidenthalerová</t>
  </si>
  <si>
    <t>Báňová a Bílková 4. modul semináře Jihlava, zástup R. Weidenthalerová</t>
  </si>
  <si>
    <t>Státní svátek- MŠ uzavřena</t>
  </si>
  <si>
    <t xml:space="preserve">Medová snídaně- lektorování o medu, akce v MŠ dopoledne zdarma </t>
  </si>
  <si>
    <t>Miniškolička  Čáslavice, odchod 11.15, návrat 14.00, sebou 4 Kč</t>
  </si>
  <si>
    <t xml:space="preserve">Odvoz starého papíru a víček. Množnost přinést ráno ještě papír a víčka před obec. </t>
  </si>
  <si>
    <t>Kino Třebíč "Čertoviny", odjezd linkou 7.05 s batůžkem. Vybíráme 90+20= 110 Kč</t>
  </si>
  <si>
    <t>Vánoční prázdniny= MŠ uzavřena</t>
  </si>
  <si>
    <t>"Vánoční pohádka" Národní dům Třebíč. Jedeme linkou v 7.05 s batůžkem. Vybíráme  40+20= 60 Kč</t>
  </si>
  <si>
    <t>Nepřítomnost Jana Báňová 10.00-14.00 Jihlava "Právní předpisy" od 15.00  do 17.00 Třebíč</t>
  </si>
  <si>
    <t>1. adventní neděle</t>
  </si>
  <si>
    <t>2. adventní neděle</t>
  </si>
  <si>
    <t>3. adventní neděle</t>
  </si>
  <si>
    <t>4. adventní neděle  Štědrý den</t>
  </si>
  <si>
    <t>Horácké divadlo Jihlava "Cesta k Betlému", odjezd od MŠ v 9.15. Vybíráme 120 Kč. Oběd 12.30</t>
  </si>
  <si>
    <t>Návštěva Čerta Mikuláše a Anděla v MŠ v 8.00</t>
  </si>
  <si>
    <t>Vánoční nadílka v MŠ  se zastupiteli obce v cca 10 hodin</t>
  </si>
  <si>
    <t xml:space="preserve">18.12.2017 v 16 hodin proběhne v KD Vánoční tvoření pro rodiče a děti. Sebou nic nepořebujete, vše připravíme. Poprosím Vás jen o trochu cukroví na 15.12.2017.  21.12.2017 proběhne Vánoční zpívání u rozsvíceného stromu na návsi. Hodinu upřesníme podle kapely. </t>
  </si>
  <si>
    <t>Preventivní program studentek SZŠ  Třebíč v MŠ v 9.00. Prgram je zdarma. Jmenuje se "Prevence úrazů"</t>
  </si>
  <si>
    <t xml:space="preserve">Cesta k Betlémům na Vísky. Vyrazíme po svačině v 9.00 pěšky.Děti sebou nic nepotřebují. </t>
  </si>
  <si>
    <t>Nový rok - MŠ Uzavřena</t>
  </si>
  <si>
    <t>MŠ Uzavřena</t>
  </si>
  <si>
    <t>Preventivní program STŘED v 9.00 v MŠ, program hrazen mateřskou školou</t>
  </si>
  <si>
    <t>Setkání pro rodiče: buď psycholog Mudr. Halačka nebo tvoření na jemnou motoriku</t>
  </si>
  <si>
    <t>Preventivní program STŘED v 9.00 v MŠ- návaznost na první schůzku</t>
  </si>
  <si>
    <t>Báňová seminář Třebíč od 15.00</t>
  </si>
  <si>
    <t>Báńová seminář : Metoda vědomého pohybu</t>
  </si>
  <si>
    <t xml:space="preserve">Báňová seminář: Metoda vědomého pohybu </t>
  </si>
  <si>
    <t>Logopedická prevence SPC v MŠ v 8.00</t>
  </si>
  <si>
    <t>Obnoven provou MŠ 6.00-15.30 hodin</t>
  </si>
  <si>
    <t>Pololetní prázdniny, Jídelna má sanitární den, MŠ Římov uzavřena</t>
  </si>
  <si>
    <t>Muzeum Třebíč "Rej masek", jedeme linkou 8.05. Sebou batůžek, pití, svačinu. Vybíráme 60 kč</t>
  </si>
  <si>
    <t>Téma týdne:  MASOPUT</t>
  </si>
  <si>
    <t>Masopust v Římově</t>
  </si>
  <si>
    <t>Tématické setkávání, tentokrát pro rodiče i děti, práce s fimem, jemná motorika. 16.00 v MŠ</t>
  </si>
  <si>
    <t xml:space="preserve">Divadlo Pasáž. Káťa a Škubánek. Odjezd linkou 7.05. Sebou batůžek, svačinu a pití. </t>
  </si>
  <si>
    <t xml:space="preserve">Jarní prázdniny- MŠ uzavřena </t>
  </si>
  <si>
    <t>Jana Báňová- dovolená, zastupuje Romana Weidenthalerová</t>
  </si>
  <si>
    <t xml:space="preserve">Focení v MŠ  od firmy Popular press v 11 hodin v MŠ </t>
  </si>
  <si>
    <t xml:space="preserve">Miniškolička Čáslavice pro předškoláky. Sebou batůžek, pití a 4 Kč. </t>
  </si>
  <si>
    <t>JARNÍ PRÁZNINY- MŠ uzavřena, čištění koberců, lina a čalounění</t>
  </si>
  <si>
    <t>JARNÍ PRÁZNINY- MŠ uzavřena</t>
  </si>
  <si>
    <t>RC Damiján, divadlo zdarma Vanda a Standa. Odjezd linkou 7.05, sebou batůžek, svačinu a pití. 20 Kč</t>
  </si>
  <si>
    <t>Velikonoční program Muzeum Třebíč. Linkou 8.05, batůžek, svačinu a pití. 40 Kč</t>
  </si>
  <si>
    <t>Téma: Velikonoce</t>
  </si>
  <si>
    <t xml:space="preserve">Pohádka v Národním domě: "Hurá, jaro je tady". Odjezd linkou 7.05. Batůžek, svačina, pití. </t>
  </si>
  <si>
    <t>Velký pátek- svátek, MŠ uzavřena.</t>
  </si>
  <si>
    <t>Karneval Římov</t>
  </si>
  <si>
    <t>Téma: Karneval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</si>
</sst>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20"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sz val="10"/>
      <name val="Century Gothic"/>
      <family val="2"/>
    </font>
    <font>
      <b/>
      <sz val="28"/>
      <color theme="1" tint="0.34998626667073579"/>
      <name val="Cambria"/>
      <family val="2"/>
      <scheme val="minor"/>
    </font>
    <font>
      <sz val="28"/>
      <color theme="8" tint="-0.499984740745262"/>
      <name val="Cambria"/>
      <family val="2"/>
      <scheme val="minor"/>
    </font>
    <font>
      <sz val="11"/>
      <color theme="0" tint="-0.499984740745262"/>
      <name val="Cambria"/>
      <family val="2"/>
      <scheme val="minor"/>
    </font>
    <font>
      <u/>
      <sz val="12"/>
      <color theme="10"/>
      <name val="Cambria"/>
      <family val="2"/>
      <scheme val="minor"/>
    </font>
    <font>
      <b/>
      <sz val="11"/>
      <color theme="8"/>
      <name val="Cambria"/>
      <family val="2"/>
      <scheme val="minor"/>
    </font>
    <font>
      <sz val="40"/>
      <color theme="8"/>
      <name val="Cambria"/>
      <family val="2"/>
      <scheme val="minor"/>
    </font>
    <font>
      <b/>
      <sz val="9"/>
      <color theme="8"/>
      <name val="Cambria"/>
      <family val="2"/>
      <scheme val="minor"/>
    </font>
    <font>
      <sz val="10"/>
      <color theme="9"/>
      <name val="Cambria"/>
      <family val="2"/>
      <scheme val="minor"/>
    </font>
    <font>
      <sz val="11"/>
      <color theme="8"/>
      <name val="Cambria"/>
      <family val="1"/>
      <scheme val="minor"/>
    </font>
    <font>
      <sz val="11"/>
      <color theme="8"/>
      <name val="Cambria"/>
      <family val="2"/>
      <scheme val="minor"/>
    </font>
    <font>
      <sz val="24"/>
      <color theme="8"/>
      <name val="Cambria"/>
      <family val="2"/>
      <scheme val="minor"/>
    </font>
    <font>
      <sz val="10"/>
      <name val="Cambria"/>
      <family val="1"/>
      <charset val="238"/>
      <scheme val="minor"/>
    </font>
    <font>
      <b/>
      <sz val="11"/>
      <color rgb="FFC00000"/>
      <name val="Cambria"/>
      <family val="1"/>
      <charset val="238"/>
      <scheme val="minor"/>
    </font>
    <font>
      <sz val="10"/>
      <name val="Cambria"/>
      <family val="2"/>
      <scheme val="minor"/>
    </font>
    <font>
      <b/>
      <sz val="10"/>
      <name val="Cambria"/>
      <family val="1"/>
      <charset val="238"/>
      <scheme val="minor"/>
    </font>
  </fonts>
  <fills count="6">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8" tint="0.79998168889431442"/>
        <bgColor indexed="64"/>
      </patternFill>
    </fill>
    <fill>
      <patternFill patternType="solid">
        <fgColor theme="8" tint="0.39997558519241921"/>
        <bgColor indexed="64"/>
      </patternFill>
    </fill>
  </fills>
  <borders count="1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7"/>
      </right>
      <top style="thin">
        <color theme="8"/>
      </top>
      <bottom/>
      <diagonal/>
    </border>
    <border>
      <left style="thin">
        <color theme="7"/>
      </left>
      <right style="thin">
        <color theme="7"/>
      </right>
      <top style="thin">
        <color theme="8"/>
      </top>
      <bottom/>
      <diagonal/>
    </border>
    <border>
      <left style="thin">
        <color theme="7"/>
      </left>
      <right style="thin">
        <color theme="8"/>
      </right>
      <top style="thin">
        <color theme="8"/>
      </top>
      <bottom/>
      <diagonal/>
    </border>
    <border>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top/>
      <bottom/>
      <diagonal/>
    </border>
    <border>
      <left style="thin">
        <color theme="8"/>
      </left>
      <right/>
      <top/>
      <bottom style="thin">
        <color theme="8"/>
      </bottom>
      <diagonal/>
    </border>
  </borders>
  <cellStyleXfs count="6">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5" fillId="0" borderId="0" applyNumberFormat="0" applyFill="0" applyAlignment="0" applyProtection="0"/>
    <xf numFmtId="0" fontId="8" fillId="0" borderId="0" applyNumberFormat="0" applyFill="0" applyBorder="0" applyAlignment="0" applyProtection="0"/>
  </cellStyleXfs>
  <cellXfs count="38">
    <xf numFmtId="0" fontId="0" fillId="0" borderId="0" xfId="0"/>
    <xf numFmtId="0" fontId="2" fillId="0" borderId="0" xfId="1"/>
    <xf numFmtId="0" fontId="4" fillId="0" borderId="0" xfId="1" applyFont="1"/>
    <xf numFmtId="166" fontId="6" fillId="0" borderId="0" xfId="0" applyNumberFormat="1" applyFont="1" applyFill="1" applyBorder="1" applyAlignment="1">
      <alignment vertical="center" textRotation="90"/>
    </xf>
    <xf numFmtId="0" fontId="8" fillId="0" borderId="0" xfId="5"/>
    <xf numFmtId="0" fontId="7" fillId="0" borderId="0" xfId="1" applyFont="1" applyAlignment="1">
      <alignment horizontal="center"/>
    </xf>
    <xf numFmtId="0" fontId="7" fillId="0" borderId="0" xfId="1" applyFont="1" applyAlignment="1">
      <alignment horizontal="right"/>
    </xf>
    <xf numFmtId="166" fontId="0" fillId="0" borderId="0" xfId="0" applyNumberFormat="1"/>
    <xf numFmtId="0" fontId="12" fillId="4" borderId="10" xfId="1" applyFont="1" applyFill="1" applyBorder="1" applyAlignment="1">
      <alignment horizontal="center" vertical="top" wrapText="1"/>
    </xf>
    <xf numFmtId="0" fontId="12" fillId="4" borderId="10" xfId="3" applyFont="1" applyFill="1" applyBorder="1" applyAlignment="1">
      <alignment horizontal="center" vertical="top" wrapText="1"/>
    </xf>
    <xf numFmtId="0" fontId="12" fillId="0" borderId="10" xfId="1" applyFont="1" applyFill="1" applyBorder="1" applyAlignment="1">
      <alignment horizontal="center" vertical="top" wrapText="1"/>
    </xf>
    <xf numFmtId="0" fontId="12" fillId="0" borderId="10" xfId="3" applyFont="1" applyFill="1" applyBorder="1" applyAlignment="1">
      <alignment horizontal="center" vertical="top" wrapText="1"/>
    </xf>
    <xf numFmtId="0" fontId="11" fillId="0" borderId="2" xfId="2" applyFont="1" applyFill="1" applyBorder="1" applyAlignment="1">
      <alignment horizontal="center" vertical="center"/>
    </xf>
    <xf numFmtId="0" fontId="11" fillId="0" borderId="3" xfId="2" applyFont="1" applyFill="1" applyBorder="1" applyAlignment="1">
      <alignment horizontal="center" vertical="center"/>
    </xf>
    <xf numFmtId="0" fontId="11" fillId="0" borderId="4" xfId="2" applyFont="1" applyFill="1" applyBorder="1" applyAlignment="1">
      <alignment horizontal="center" vertical="center"/>
    </xf>
    <xf numFmtId="164" fontId="13" fillId="4" borderId="11" xfId="1" applyNumberFormat="1" applyFont="1" applyFill="1" applyBorder="1" applyAlignment="1">
      <alignment horizontal="left" vertical="top" wrapText="1"/>
    </xf>
    <xf numFmtId="164" fontId="13" fillId="0" borderId="11" xfId="1" applyNumberFormat="1" applyFont="1" applyFill="1" applyBorder="1" applyAlignment="1">
      <alignment horizontal="left" vertical="top" wrapText="1"/>
    </xf>
    <xf numFmtId="164" fontId="13" fillId="4" borderId="12" xfId="1" applyNumberFormat="1" applyFont="1" applyFill="1" applyBorder="1" applyAlignment="1">
      <alignment horizontal="left" vertical="top" wrapText="1"/>
    </xf>
    <xf numFmtId="164" fontId="13" fillId="0" borderId="12" xfId="1" applyNumberFormat="1" applyFont="1" applyFill="1" applyBorder="1" applyAlignment="1">
      <alignment horizontal="left" vertical="top" wrapText="1"/>
    </xf>
    <xf numFmtId="164" fontId="13" fillId="0" borderId="13" xfId="1" applyNumberFormat="1" applyFont="1" applyFill="1" applyBorder="1" applyAlignment="1">
      <alignment horizontal="left" vertical="top" wrapText="1"/>
    </xf>
    <xf numFmtId="0" fontId="2" fillId="5" borderId="0" xfId="1" applyFill="1"/>
    <xf numFmtId="0" fontId="14" fillId="0" borderId="0" xfId="1" applyFont="1" applyFill="1" applyAlignment="1">
      <alignment horizontal="right"/>
    </xf>
    <xf numFmtId="0" fontId="15" fillId="0" borderId="0" xfId="0" applyFont="1" applyFill="1" applyAlignment="1">
      <alignment horizontal="right" vertical="top"/>
    </xf>
    <xf numFmtId="0" fontId="0" fillId="0" borderId="0" xfId="0" applyFill="1"/>
    <xf numFmtId="0" fontId="16" fillId="0" borderId="10" xfId="1" applyFont="1" applyFill="1" applyBorder="1" applyAlignment="1">
      <alignment horizontal="center" vertical="top" wrapText="1"/>
    </xf>
    <xf numFmtId="0" fontId="16" fillId="4" borderId="10" xfId="1" applyFont="1" applyFill="1" applyBorder="1" applyAlignment="1">
      <alignment horizontal="center" vertical="top" wrapText="1"/>
    </xf>
    <xf numFmtId="0" fontId="16" fillId="4" borderId="10" xfId="3" applyFont="1" applyFill="1" applyBorder="1" applyAlignment="1">
      <alignment horizontal="center" vertical="top" wrapText="1"/>
    </xf>
    <xf numFmtId="0" fontId="18" fillId="4" borderId="10" xfId="1" applyFont="1" applyFill="1" applyBorder="1" applyAlignment="1">
      <alignment horizontal="center" vertical="top" wrapText="1"/>
    </xf>
    <xf numFmtId="0" fontId="16" fillId="0" borderId="10" xfId="3" applyFont="1" applyFill="1" applyBorder="1" applyAlignment="1">
      <alignment horizontal="center" vertical="top" wrapText="1"/>
    </xf>
    <xf numFmtId="0" fontId="19" fillId="0" borderId="10" xfId="1" applyFont="1" applyFill="1" applyBorder="1" applyAlignment="1">
      <alignment horizontal="center" vertical="top" wrapText="1"/>
    </xf>
    <xf numFmtId="0" fontId="9" fillId="0" borderId="14"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9" xfId="2" applyFont="1" applyFill="1" applyBorder="1" applyAlignment="1">
      <alignment horizontal="left" vertical="top" wrapText="1"/>
    </xf>
    <xf numFmtId="164" fontId="11" fillId="0" borderId="5" xfId="2" applyNumberFormat="1" applyFont="1" applyFill="1" applyBorder="1" applyAlignment="1">
      <alignment horizontal="left" vertical="center" wrapText="1"/>
    </xf>
    <xf numFmtId="164" fontId="11" fillId="0" borderId="6" xfId="2" applyNumberFormat="1" applyFont="1" applyFill="1" applyBorder="1" applyAlignment="1">
      <alignment horizontal="left" vertical="center" wrapText="1"/>
    </xf>
    <xf numFmtId="164" fontId="11" fillId="0" borderId="7" xfId="2" applyNumberFormat="1" applyFont="1" applyFill="1" applyBorder="1" applyAlignment="1">
      <alignment horizontal="left" vertical="center" wrapText="1"/>
    </xf>
    <xf numFmtId="165" fontId="10" fillId="0" borderId="0" xfId="1" applyNumberFormat="1" applyFont="1" applyBorder="1" applyAlignment="1">
      <alignment horizontal="left" vertical="center"/>
    </xf>
    <xf numFmtId="0" fontId="17" fillId="0" borderId="14" xfId="2" applyFont="1" applyFill="1" applyBorder="1" applyAlignment="1">
      <alignment horizontal="left" vertical="top" wrapText="1"/>
    </xf>
  </cellXfs>
  <cellStyles count="6">
    <cellStyle name="40% - Zvýraznění1 2" xfId="3"/>
    <cellStyle name="Hypertextový odkaz" xfId="5" builtinId="8"/>
    <cellStyle name="Nadpis 1 2" xfId="4"/>
    <cellStyle name="Normální" xfId="0" builtinId="0" customBuiltin="1"/>
    <cellStyle name="Normální 2" xfId="1"/>
    <cellStyle name="Zvýraznění1 2" xfId="2"/>
  </cellStyles>
  <dxfs count="11">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TableStyleLight9 2" pivot="0" count="4">
      <tableStyleElement type="wholeTable" dxfId="3"/>
      <tableStyleElement type="headerRow" dxfId="2"/>
      <tableStyleElement type="totalRow" dxfId="1"/>
      <tableStyleElement type="firstColumn" dxfId="0"/>
    </tableStyle>
  </tableStyles>
  <colors>
    <mruColors>
      <color rgb="FFC17529"/>
      <color rgb="FFFDFDFD"/>
      <color rgb="FFA19574"/>
      <color rgb="FFEAE8EA"/>
      <color rgb="FFEAE8E0"/>
      <color rgb="FFA1A9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KalendářníRok" max="2999" min="1900" page="10" val="2018"/>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2.jpg"/><Relationship Id="rId1" Type="http://schemas.openxmlformats.org/officeDocument/2006/relationships/image" Target="../media/image2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4.jpg"/><Relationship Id="rId1" Type="http://schemas.openxmlformats.org/officeDocument/2006/relationships/image" Target="../media/image2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6.jpg"/><Relationship Id="rId1" Type="http://schemas.openxmlformats.org/officeDocument/2006/relationships/image" Target="../media/image25.jpg"/></Relationships>
</file>

<file path=xl/drawings/_rels/drawing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7.xml.rels><?xml version="1.0" encoding="UTF-8" standalone="yes"?>
<Relationships xmlns="http://schemas.openxmlformats.org/package/2006/relationships"><Relationship Id="rId2" Type="http://schemas.openxmlformats.org/officeDocument/2006/relationships/image" Target="../media/image16.jpg"/><Relationship Id="rId1" Type="http://schemas.openxmlformats.org/officeDocument/2006/relationships/image" Target="../media/image15.jpg"/></Relationships>
</file>

<file path=xl/drawings/_rels/drawing8.xml.rels><?xml version="1.0" encoding="UTF-8" standalone="yes"?>
<Relationships xmlns="http://schemas.openxmlformats.org/package/2006/relationships"><Relationship Id="rId2" Type="http://schemas.openxmlformats.org/officeDocument/2006/relationships/image" Target="../media/image18.jp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0.jpg"/><Relationship Id="rId1" Type="http://schemas.openxmlformats.org/officeDocument/2006/relationships/image" Target="../media/image19.jpg"/></Relationships>
</file>

<file path=xl/drawings/drawing1.xml><?xml version="1.0" encoding="utf-8"?>
<xdr:wsDr xmlns:xdr="http://schemas.openxmlformats.org/drawingml/2006/spreadsheetDrawing" xmlns:a="http://schemas.openxmlformats.org/drawingml/2006/main">
  <xdr:twoCellAnchor>
    <xdr:from>
      <xdr:col>8</xdr:col>
      <xdr:colOff>336852</xdr:colOff>
      <xdr:row>3</xdr:row>
      <xdr:rowOff>41234</xdr:rowOff>
    </xdr:from>
    <xdr:to>
      <xdr:col>9</xdr:col>
      <xdr:colOff>1035429</xdr:colOff>
      <xdr:row>7</xdr:row>
      <xdr:rowOff>517174</xdr:rowOff>
    </xdr:to>
    <xdr:pic>
      <xdr:nvPicPr>
        <xdr:cNvPr id="3" name="Obrázek  2" descr="Frenched rack of lamb in a skillet" title="January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1252" y="1146134"/>
          <a:ext cx="1879677" cy="200946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336852</xdr:colOff>
      <xdr:row>7</xdr:row>
      <xdr:rowOff>645080</xdr:rowOff>
    </xdr:from>
    <xdr:to>
      <xdr:col>9</xdr:col>
      <xdr:colOff>1035429</xdr:colOff>
      <xdr:row>11</xdr:row>
      <xdr:rowOff>633915</xdr:rowOff>
    </xdr:to>
    <xdr:pic>
      <xdr:nvPicPr>
        <xdr:cNvPr id="21" name="Obrázek  20" descr="Assorted spices in six rectangular bowls." title="January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1252" y="3283505"/>
          <a:ext cx="1879677" cy="200813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761821</xdr:rowOff>
    </xdr:from>
    <xdr:to>
      <xdr:col>9</xdr:col>
      <xdr:colOff>1063256</xdr:colOff>
      <xdr:row>16</xdr:row>
      <xdr:rowOff>3906</xdr:rowOff>
    </xdr:to>
    <xdr:sp macro="" textlink="">
      <xdr:nvSpPr>
        <xdr:cNvPr id="25" name="TextovéPole 24" descr="Address&#10;City, State, ZIP&#10;&#10;telefon&#10;FAX&#10;E-mail&#10;Web" title="Address block"/>
        <xdr:cNvSpPr txBox="1"/>
      </xdr:nvSpPr>
      <xdr:spPr>
        <a:xfrm>
          <a:off x="8843426" y="5419546"/>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příspěvkvá organzace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71011579</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a:t>
          </a:r>
          <a:r>
            <a:rPr kumimoji="0" lang="cs-CZ" sz="1200" b="0" i="0" u="none" strike="noStrike" kern="0" cap="none" spc="0" normalizeH="0" baseline="0" noProof="0">
              <a:ln>
                <a:noFill/>
              </a:ln>
              <a:solidFill>
                <a:srgbClr val="A19574"/>
              </a:solidFill>
              <a:effectLst/>
              <a:uLnTx/>
              <a:uFillTx/>
              <a:latin typeface="+mn-lt"/>
              <a:ea typeface="+mn-ea"/>
              <a:cs typeface="+mn-cs"/>
            </a:rPr>
            <a:t>568 883 266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Báňová:  606335853</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C17529"/>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1047750</xdr:colOff>
          <xdr:row>1</xdr:row>
          <xdr:rowOff>85725</xdr:rowOff>
        </xdr:from>
        <xdr:to>
          <xdr:col>11</xdr:col>
          <xdr:colOff>114300</xdr:colOff>
          <xdr:row>1</xdr:row>
          <xdr:rowOff>314325</xdr:rowOff>
        </xdr:to>
        <xdr:sp macro="" textlink="">
          <xdr:nvSpPr>
            <xdr:cNvPr id="1026" name="Číselník 2" descr="Spinner control. Use spinner to change calendar year or type desired year in cell L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Caramelized sea scallops on a bed of wilted rainbow chard. To change this picture, right-click picture and then click Change Picture." title="October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Bowl of fresh rainbow chard. To change this picture, right-click picture and then click Change Picture." title="October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742950</xdr:rowOff>
    </xdr:from>
    <xdr:to>
      <xdr:col>9</xdr:col>
      <xdr:colOff>1059030</xdr:colOff>
      <xdr:row>15</xdr:row>
      <xdr:rowOff>804185</xdr:rowOff>
    </xdr:to>
    <xdr:sp macro="" textlink="">
      <xdr:nvSpPr>
        <xdr:cNvPr id="8" name="TextovéPole 7" descr="Address&#10;City, State, ZIP&#10;&#10;telefon&#10;FAX&#10;E-mail&#10;Web" title="Address block"/>
        <xdr:cNvSpPr txBox="1"/>
      </xdr:nvSpPr>
      <xdr:spPr>
        <a:xfrm>
          <a:off x="8839200"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Římov 1, Stařeč 67522</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a:t>
          </a:r>
          <a:r>
            <a:rPr kumimoji="0" lang="cs-CZ" sz="1200" b="0" i="0" u="none" strike="noStrike" kern="0" cap="none" spc="0" normalizeH="0" baseline="0" noProof="0">
              <a:ln>
                <a:noFill/>
              </a:ln>
              <a:solidFill>
                <a:srgbClr val="A19574"/>
              </a:solidFill>
              <a:effectLst/>
              <a:uLnTx/>
              <a:uFillTx/>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568 883 266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606 335 853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Two bowls of carrot soup garnished with a swirl of yogurt and parsley flakes. To change this picture, right-click picture and then click Change Picture." title="November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Bunch of fresh carrots. To change this picture, right-click picture and then click Change Picture." title="November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314325</xdr:colOff>
      <xdr:row>11</xdr:row>
      <xdr:rowOff>742950</xdr:rowOff>
    </xdr:from>
    <xdr:to>
      <xdr:col>9</xdr:col>
      <xdr:colOff>1068555</xdr:colOff>
      <xdr:row>15</xdr:row>
      <xdr:rowOff>804185</xdr:rowOff>
    </xdr:to>
    <xdr:sp macro="" textlink="">
      <xdr:nvSpPr>
        <xdr:cNvPr id="8" name="TextovéPole 7" descr="Address&#10;City, State, ZIP&#10;&#10;telefon&#10;FAX&#10;E-mail&#10;Web" title="Address block"/>
        <xdr:cNvSpPr txBox="1"/>
      </xdr:nvSpPr>
      <xdr:spPr>
        <a:xfrm>
          <a:off x="8848725"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IČ 71011579</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 Báňová</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568883266- školka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Platter of brownie parfaits topped with crumbled brownie. To change this picture, right-click picture and then click Change Picture." title="December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Stack of fresh baked brownies. To change this picture, right-click picture and then click Change Picture." title="December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771525</xdr:rowOff>
    </xdr:from>
    <xdr:to>
      <xdr:col>9</xdr:col>
      <xdr:colOff>1059030</xdr:colOff>
      <xdr:row>16</xdr:row>
      <xdr:rowOff>13610</xdr:rowOff>
    </xdr:to>
    <xdr:sp macro="" textlink="">
      <xdr:nvSpPr>
        <xdr:cNvPr id="8" name="TextovéPole 7" descr="Address&#10;City, State, ZIP&#10;&#10;telefon&#10;FAX&#10;E-mail&#10;Web" title="Address block"/>
        <xdr:cNvSpPr txBox="1"/>
      </xdr:nvSpPr>
      <xdr:spPr>
        <a:xfrm>
          <a:off x="8839200" y="5676900"/>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IČ 71011579</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a:t>
          </a: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568 883 266-  MŠ</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606 335 853- Jana Báňová</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C17529"/>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336458</xdr:colOff>
      <xdr:row>3</xdr:row>
      <xdr:rowOff>31709</xdr:rowOff>
    </xdr:from>
    <xdr:to>
      <xdr:col>9</xdr:col>
      <xdr:colOff>1035035</xdr:colOff>
      <xdr:row>7</xdr:row>
      <xdr:rowOff>506429</xdr:rowOff>
    </xdr:to>
    <xdr:pic>
      <xdr:nvPicPr>
        <xdr:cNvPr id="2" name="Obrázek  1" descr="Pot of stew with fresh vegetables and meat.  To change this picture, right-click picture and then click Change Picture." title="February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84259"/>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635555</xdr:rowOff>
    </xdr:from>
    <xdr:to>
      <xdr:col>9</xdr:col>
      <xdr:colOff>1035035</xdr:colOff>
      <xdr:row>11</xdr:row>
      <xdr:rowOff>623170</xdr:rowOff>
    </xdr:to>
    <xdr:pic>
      <xdr:nvPicPr>
        <xdr:cNvPr id="6" name="Obrázek  5" descr="Fresh mushrooms.  To change this picture, right-click picture and then click Change Picture." title="February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21630"/>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752475</xdr:rowOff>
    </xdr:from>
    <xdr:to>
      <xdr:col>9</xdr:col>
      <xdr:colOff>1059030</xdr:colOff>
      <xdr:row>15</xdr:row>
      <xdr:rowOff>813710</xdr:rowOff>
    </xdr:to>
    <xdr:sp macro="" textlink="">
      <xdr:nvSpPr>
        <xdr:cNvPr id="8" name="TextovéPole 7" descr="Address&#10;City, State, ZIP&#10;&#10;telefon&#10;FAX&#10;E-mail&#10;Web" title="Address block"/>
        <xdr:cNvSpPr txBox="1"/>
      </xdr:nvSpPr>
      <xdr:spPr>
        <a:xfrm>
          <a:off x="8839200" y="5657850"/>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a:t>
          </a: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 Jana Báňová</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568883266- MŠ </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C17529"/>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Fresh garden salad topped with sliced radishes and nuts.  To change this picture, right-click picture and then click Change Picture." title="March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Platter of fresh radishes.  To change this picture, right-click picture and then click Change Picture." title="March image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314325</xdr:colOff>
      <xdr:row>11</xdr:row>
      <xdr:rowOff>742950</xdr:rowOff>
    </xdr:from>
    <xdr:to>
      <xdr:col>9</xdr:col>
      <xdr:colOff>1068555</xdr:colOff>
      <xdr:row>15</xdr:row>
      <xdr:rowOff>804185</xdr:rowOff>
    </xdr:to>
    <xdr:sp macro="" textlink="">
      <xdr:nvSpPr>
        <xdr:cNvPr id="8" name="TextovéPole 7" descr="Address&#10;City, State, ZIP&#10;&#10;telefon&#10;FAX&#10;E-mail&#10;Web" title="Address block"/>
        <xdr:cNvSpPr txBox="1"/>
      </xdr:nvSpPr>
      <xdr:spPr>
        <a:xfrm>
          <a:off x="8848725"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 Římov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IČ 710 11 579</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a:t>
          </a: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568 883 266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 Báňová</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cs-CZ"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prstClr val="black"/>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Stack of asparagus quiche cut into wedges.  To change this picture, right-click picture and then click Change Picture." title="April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Fresh asparagus stems.  To change this picture, right-click picture and then click Change Picture." title="April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314325</xdr:colOff>
      <xdr:row>11</xdr:row>
      <xdr:rowOff>742950</xdr:rowOff>
    </xdr:from>
    <xdr:to>
      <xdr:col>9</xdr:col>
      <xdr:colOff>1068555</xdr:colOff>
      <xdr:row>15</xdr:row>
      <xdr:rowOff>804185</xdr:rowOff>
    </xdr:to>
    <xdr:sp macro="" textlink="">
      <xdr:nvSpPr>
        <xdr:cNvPr id="8" name="TextovéPole 7" descr="Address&#10;City, State, ZIP&#10;&#10;telefon&#10;FAX&#10;E-mail&#10;Web" title="Address block"/>
        <xdr:cNvSpPr txBox="1"/>
      </xdr:nvSpPr>
      <xdr:spPr>
        <a:xfrm>
          <a:off x="8848725"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a:t>
          </a:r>
          <a:r>
            <a:rPr kumimoji="0" lang="cs-CZ" sz="1200" b="0" i="0" u="none" strike="noStrike" kern="0" cap="none" spc="0" normalizeH="0" baseline="0" noProof="0">
              <a:ln>
                <a:noFill/>
              </a:ln>
              <a:solidFill>
                <a:srgbClr val="A19574"/>
              </a:solidFill>
              <a:effectLst/>
              <a:uLnTx/>
              <a:uFillTx/>
              <a:latin typeface="+mn-lt"/>
              <a:ea typeface="+mn-ea"/>
              <a:cs typeface="+mn-cs"/>
            </a:rPr>
            <a:t>568883266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C17529"/>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a:t>
          </a:r>
          <a:r>
            <a:rPr kumimoji="0" lang="cs-CZ" sz="1200" b="0" i="0" u="none" strike="noStrike" kern="0" cap="none" spc="0" normalizeH="0" baseline="0" noProof="0">
              <a:ln>
                <a:noFill/>
              </a:ln>
              <a:solidFill>
                <a:srgbClr val="C17529"/>
              </a:solidFill>
              <a:effectLst/>
              <a:uLnTx/>
              <a:uFillTx/>
              <a:latin typeface="+mn-lt"/>
              <a:ea typeface="+mn-ea"/>
              <a:cs typeface="+mn-cs"/>
            </a:rPr>
            <a:t>.obecrimov.cz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Bowl of fruit cocktail. To change this picture, right-click picture and then click Change Picture." title="May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Fresh grapefruit wedges.  To change this picture, right-click picture and then click Change Picture." title="May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314325</xdr:colOff>
      <xdr:row>11</xdr:row>
      <xdr:rowOff>742950</xdr:rowOff>
    </xdr:from>
    <xdr:to>
      <xdr:col>9</xdr:col>
      <xdr:colOff>1068555</xdr:colOff>
      <xdr:row>15</xdr:row>
      <xdr:rowOff>804185</xdr:rowOff>
    </xdr:to>
    <xdr:sp macro="" textlink="">
      <xdr:nvSpPr>
        <xdr:cNvPr id="8" name="TextovéPole 7" descr="Address&#10;City, State, ZIP&#10;&#10;telefon&#10;FAX&#10;E-mail&#10;Web" title="Address block"/>
        <xdr:cNvSpPr txBox="1"/>
      </xdr:nvSpPr>
      <xdr:spPr>
        <a:xfrm>
          <a:off x="8848725"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a:t>
          </a:r>
          <a:r>
            <a:rPr kumimoji="0" lang="cs-CZ" sz="1200" b="0" i="0" u="none" strike="noStrike" kern="0" cap="none" spc="0" normalizeH="0" baseline="0" noProof="0">
              <a:ln>
                <a:noFill/>
              </a:ln>
              <a:solidFill>
                <a:srgbClr val="A19574"/>
              </a:solidFill>
              <a:effectLst/>
              <a:uLnTx/>
              <a:uFillTx/>
              <a:latin typeface="+mn-lt"/>
              <a:ea typeface="+mn-ea"/>
              <a:cs typeface="+mn-cs"/>
            </a:rPr>
            <a:t>568883266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 Báňová</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C17529"/>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Fresh garden salad with field greens. To change this picture, right-click picture and then click Change Picture." title="June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Fresh vine ripened tomatoes. To change this picture, right-click picture and then click Change Picture." title="June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742950</xdr:rowOff>
    </xdr:from>
    <xdr:to>
      <xdr:col>9</xdr:col>
      <xdr:colOff>1059030</xdr:colOff>
      <xdr:row>15</xdr:row>
      <xdr:rowOff>804185</xdr:rowOff>
    </xdr:to>
    <xdr:sp macro="" textlink="">
      <xdr:nvSpPr>
        <xdr:cNvPr id="8" name="TextovéPole 7" descr="Address&#10;City, State, ZIP&#10;&#10;telefon&#10;FAX&#10;E-mail&#10;Web" title="Address block"/>
        <xdr:cNvSpPr txBox="1"/>
      </xdr:nvSpPr>
      <xdr:spPr>
        <a:xfrm>
          <a:off x="8839200"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Sem zadejte svou adresu.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Město, PSČ</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555-123-0123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555-123-0124</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Watermelon shaved ice topped with a lime wedge and parsley. To change this picture, right-click picture and then click Change Picture." title="July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658447</xdr:rowOff>
    </xdr:from>
    <xdr:to>
      <xdr:col>9</xdr:col>
      <xdr:colOff>1035035</xdr:colOff>
      <xdr:row>11</xdr:row>
      <xdr:rowOff>646062</xdr:rowOff>
    </xdr:to>
    <xdr:pic>
      <xdr:nvPicPr>
        <xdr:cNvPr id="6" name="Obrázek  5" descr="Picnic table with a row of freshly cut watermelon wedges. To change this picture, right-click picture and then click Change Picture." title="July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44522"/>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742950</xdr:rowOff>
    </xdr:from>
    <xdr:to>
      <xdr:col>9</xdr:col>
      <xdr:colOff>1059030</xdr:colOff>
      <xdr:row>15</xdr:row>
      <xdr:rowOff>804185</xdr:rowOff>
    </xdr:to>
    <xdr:sp macro="" textlink="">
      <xdr:nvSpPr>
        <xdr:cNvPr id="8" name="TextovéPole 7" descr="Address&#10;City, State, ZIP&#10;&#10;telefon&#10;FAX&#10;E-mail&#10;Web" title="Address block"/>
        <xdr:cNvSpPr txBox="1"/>
      </xdr:nvSpPr>
      <xdr:spPr>
        <a:xfrm>
          <a:off x="8839200"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Sem zadejte svou adresu.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Město, PSČ</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555-123-0123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555-123-0124</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Grilled salmon and fresh vegetables on an oval plate." title="August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Bowl of fresh partially snapped green beans. To change this picture, right-click picture and then click Change Picture." title="August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314325</xdr:colOff>
      <xdr:row>11</xdr:row>
      <xdr:rowOff>742950</xdr:rowOff>
    </xdr:from>
    <xdr:to>
      <xdr:col>9</xdr:col>
      <xdr:colOff>1068555</xdr:colOff>
      <xdr:row>15</xdr:row>
      <xdr:rowOff>804185</xdr:rowOff>
    </xdr:to>
    <xdr:sp macro="" textlink="">
      <xdr:nvSpPr>
        <xdr:cNvPr id="8" name="TextovéPole 7" descr="Address&#10;City, State, ZIP&#10;&#10;telefon&#10;FAX&#10;E-mail&#10;Web" title="Address block"/>
        <xdr:cNvSpPr txBox="1"/>
      </xdr:nvSpPr>
      <xdr:spPr>
        <a:xfrm>
          <a:off x="8848725"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Sem zadejte svou adresu.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Město, PSČ</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555-123-0123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555-123-0124</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336458</xdr:colOff>
      <xdr:row>3</xdr:row>
      <xdr:rowOff>22184</xdr:rowOff>
    </xdr:from>
    <xdr:to>
      <xdr:col>9</xdr:col>
      <xdr:colOff>1035035</xdr:colOff>
      <xdr:row>7</xdr:row>
      <xdr:rowOff>496904</xdr:rowOff>
    </xdr:to>
    <xdr:pic>
      <xdr:nvPicPr>
        <xdr:cNvPr id="2" name="Obrázek  1" descr="Plate of cooked apple slices in a spiral pattern. To change this picture, right-click picture and then click Change Picture." title="September 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858" y="1374734"/>
          <a:ext cx="1879677" cy="200824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336458</xdr:colOff>
      <xdr:row>7</xdr:row>
      <xdr:rowOff>626030</xdr:rowOff>
    </xdr:from>
    <xdr:to>
      <xdr:col>9</xdr:col>
      <xdr:colOff>1035035</xdr:colOff>
      <xdr:row>11</xdr:row>
      <xdr:rowOff>613645</xdr:rowOff>
    </xdr:to>
    <xdr:pic>
      <xdr:nvPicPr>
        <xdr:cNvPr id="6" name="Obrázek  5" descr="Bowl of fresh apples. To change this picture, right-click picture and then click Change Picture." title="September 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70858" y="3512105"/>
          <a:ext cx="1879677" cy="2006915"/>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304800</xdr:colOff>
      <xdr:row>11</xdr:row>
      <xdr:rowOff>742950</xdr:rowOff>
    </xdr:from>
    <xdr:to>
      <xdr:col>9</xdr:col>
      <xdr:colOff>1059030</xdr:colOff>
      <xdr:row>15</xdr:row>
      <xdr:rowOff>804185</xdr:rowOff>
    </xdr:to>
    <xdr:sp macro="" textlink="">
      <xdr:nvSpPr>
        <xdr:cNvPr id="8" name="TextovéPole 7" descr="Address&#10;City, State, ZIP&#10;&#10;telefon&#10;FAX&#10;E-mail&#10;Web" title="Address block"/>
        <xdr:cNvSpPr txBox="1"/>
      </xdr:nvSpPr>
      <xdr:spPr>
        <a:xfrm>
          <a:off x="8839200" y="5648325"/>
          <a:ext cx="1935330" cy="2080535"/>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Mateřská škola Římov, příspěvková organizace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Římov 1, Stařeč 67522</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TELEFON: </a:t>
          </a:r>
          <a:endParaRPr kumimoji="0" lang="cs-CZ"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568883266</a:t>
          </a: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srgbClr val="A19574"/>
              </a:solidFill>
              <a:effectLst/>
              <a:uLnTx/>
              <a:uFillTx/>
              <a:latin typeface="+mn-lt"/>
              <a:ea typeface="+mn-ea"/>
              <a:cs typeface="+mn-cs"/>
            </a:rPr>
            <a:t>606335853- ředitelka</a:t>
          </a: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cs-CZ"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0" i="0" u="none" strike="noStrike" kern="0" cap="none" spc="0" normalizeH="0" baseline="0" noProof="0">
              <a:ln>
                <a:noFill/>
              </a:ln>
              <a:solidFill>
                <a:prstClr val="black"/>
              </a:solidFill>
              <a:effectLst/>
              <a:uLnTx/>
              <a:uFillTx/>
              <a:latin typeface="+mn-lt"/>
              <a:ea typeface="+mn-ea"/>
              <a:cs typeface="+mn-cs"/>
            </a:rPr>
            <a:t>msrimov@email.cz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a:t>
          </a:r>
          <a:r>
            <a:rPr kumimoji="0" lang="cs-CZ" sz="1200" b="0" i="0" u="none" strike="noStrike" kern="0" cap="none" spc="0" normalizeH="0" baseline="0" noProof="0">
              <a:ln>
                <a:noFill/>
              </a:ln>
              <a:solidFill>
                <a:srgbClr val="C17529"/>
              </a:solidFill>
              <a:effectLst/>
              <a:uLnTx/>
              <a:uFillTx/>
              <a:latin typeface="+mn-lt"/>
              <a:ea typeface="+mn-ea"/>
              <a:cs typeface="+mn-cs"/>
            </a:rPr>
            <a:t>obecrimov.cz</a:t>
          </a:r>
          <a:endParaRPr kumimoji="0" lang="en-US" sz="1200" b="0" i="0" u="none" strike="noStrike" kern="0" cap="none" spc="0" normalizeH="0" baseline="0" noProof="0">
            <a:ln>
              <a:noFill/>
            </a:ln>
            <a:solidFill>
              <a:srgbClr val="C17529"/>
            </a:solidFill>
            <a:effectLst/>
            <a:uLnTx/>
            <a:uFillTx/>
            <a:latin typeface="+mn-lt"/>
            <a:ea typeface="+mn-ea"/>
            <a:cs typeface="+mn-cs"/>
          </a:endParaRPr>
        </a:p>
        <a:p>
          <a:endParaRPr lang="en-US" sz="1100"/>
        </a:p>
      </xdr:txBody>
    </xdr:sp>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rek">
  <a:themeElements>
    <a:clrScheme name="Trek">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Custom 1">
      <a:majorFont>
        <a:latin typeface="Georgia"/>
        <a:ea typeface=""/>
        <a:cs typeface=""/>
      </a:majorFont>
      <a:minorFont>
        <a:latin typeface="Cambria"/>
        <a:ea typeface=""/>
        <a:cs typeface=""/>
      </a:minorFont>
    </a:fontScheme>
    <a:fmtScheme name="Trek">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499984740745262"/>
    <pageSetUpPr fitToPage="1"/>
  </sheetPr>
  <dimension ref="A1:R20"/>
  <sheetViews>
    <sheetView showGridLines="0" topLeftCell="A7" zoomScaleNormal="100" workbookViewId="0">
      <selection activeCell="D6" sqref="D6"/>
    </sheetView>
  </sheetViews>
  <sheetFormatPr defaultColWidth="6.6640625" defaultRowHeight="14.25" x14ac:dyDescent="0.2"/>
  <cols>
    <col min="1" max="1" width="3.109375" style="1" customWidth="1"/>
    <col min="2" max="9" width="13.77734375" style="1" customWidth="1"/>
    <col min="10" max="10" width="12.6640625" style="1" customWidth="1"/>
    <col min="11" max="11" width="12.44140625" style="1" customWidth="1"/>
    <col min="12" max="12" width="11.77734375" style="1" customWidth="1"/>
    <col min="13" max="13" width="11.33203125" style="1" customWidth="1"/>
    <col min="14" max="16384" width="6.6640625" style="1"/>
  </cols>
  <sheetData>
    <row r="1" spans="1:18" ht="14.25" customHeight="1" x14ac:dyDescent="0.2">
      <c r="K1" s="21" t="s">
        <v>8</v>
      </c>
    </row>
    <row r="2" spans="1:18" ht="30" customHeight="1" x14ac:dyDescent="0.25">
      <c r="A2" s="23"/>
      <c r="B2" s="20"/>
      <c r="C2" s="20"/>
      <c r="D2" s="20"/>
      <c r="E2" s="20"/>
      <c r="F2" s="20"/>
      <c r="G2" s="20"/>
      <c r="H2" s="20"/>
      <c r="I2" s="20"/>
      <c r="J2" s="20"/>
      <c r="K2" s="22">
        <v>2018</v>
      </c>
    </row>
    <row r="3" spans="1:18" ht="62.25" customHeight="1" x14ac:dyDescent="0.25">
      <c r="A3"/>
      <c r="B3" s="36" t="str">
        <f>UPPER(TEXT(DATE(KalendářníRok,1,1),"mmmm rrrr"))</f>
        <v>LEDEN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f>IF(DAY(LedNe1)=1,"",IF(AND(YEAR(LedNe1+1)=KalendářníRok,MONTH(LedNe1+1)=1),LedNe1+1,""))</f>
        <v>43101</v>
      </c>
      <c r="C5" s="15">
        <f>IF(DAY(LedNe1)=1,"",IF(AND(YEAR(LedNe1+2)=KalendářníRok,MONTH(LedNe1+2)=1),LedNe1+2,""))</f>
        <v>43102</v>
      </c>
      <c r="D5" s="15">
        <f>IF(DAY(LedNe1)=1,"",IF(AND(YEAR(LedNe1+3)=KalendářníRok,MONTH(LedNe1+3)=1),LedNe1+3,""))</f>
        <v>43103</v>
      </c>
      <c r="E5" s="15">
        <f>IF(DAY(LedNe1)=1,"",IF(AND(YEAR(LedNe1+4)=KalendářníRok,MONTH(LedNe1+4)=1),LedNe1+4,""))</f>
        <v>43104</v>
      </c>
      <c r="F5" s="15">
        <f>IF(DAY(LedNe1)=1,"",IF(AND(YEAR(LedNe1+5)=KalendářníRok,MONTH(LedNe1+5)=1),LedNe1+5,""))</f>
        <v>43105</v>
      </c>
      <c r="G5" s="15">
        <f>IF(DAY(LedNe1)=1,"",IF(AND(YEAR(LedNe1+6)=KalendářníRok,MONTH(LedNe1+6)=1),LedNe1+6,""))</f>
        <v>43106</v>
      </c>
      <c r="H5" s="15">
        <f>IF(DAY(LedNe1)=1,IF(AND(YEAR(LedNe1)=KalendářníRok,MONTH(LedNe1)=1),LedNe1,""),IF(AND(YEAR(LedNe1+7)=KalendářníRok,MONTH(LedNe1+7)=1),LedNe1+7,""))</f>
        <v>43107</v>
      </c>
      <c r="I5" s="3"/>
      <c r="K5" s="1"/>
      <c r="L5" s="1"/>
      <c r="M5" s="1"/>
      <c r="Q5" s="2"/>
      <c r="R5" s="1"/>
    </row>
    <row r="6" spans="1:18" s="2" customFormat="1" ht="64.5" customHeight="1" x14ac:dyDescent="0.25">
      <c r="A6"/>
      <c r="B6" s="27" t="s">
        <v>86</v>
      </c>
      <c r="C6" s="27" t="s">
        <v>87</v>
      </c>
      <c r="D6" s="27" t="s">
        <v>95</v>
      </c>
      <c r="E6" s="8"/>
      <c r="F6" s="8"/>
      <c r="G6" s="9"/>
      <c r="H6" s="9"/>
      <c r="I6" s="3"/>
    </row>
    <row r="7" spans="1:18" ht="15" customHeight="1" x14ac:dyDescent="0.25">
      <c r="A7"/>
      <c r="B7" s="16">
        <f>IF(DAY(LedNe1)=1,IF(AND(YEAR(LedNe1+1)=KalendářníRok,MONTH(LedNe1+1)=1),LedNe1+1,""),IF(AND(YEAR(LedNe1+8)=KalendářníRok,MONTH(LedNe1+8)=1),LedNe1+8,""))</f>
        <v>43108</v>
      </c>
      <c r="C7" s="16">
        <f>IF(DAY(LedNe1)=1,IF(AND(YEAR(LedNe1+2)=KalendářníRok,MONTH(LedNe1+2)=1),LedNe1+2,""),IF(AND(YEAR(LedNe1+9)=KalendářníRok,MONTH(LedNe1+9)=1),LedNe1+9,""))</f>
        <v>43109</v>
      </c>
      <c r="D7" s="16">
        <f>IF(DAY(LedNe1)=1,IF(AND(YEAR(LedNe1+3)=KalendářníRok,MONTH(LedNe1+3)=1),LedNe1+3,""),IF(AND(YEAR(LedNe1+10)=KalendářníRok,MONTH(LedNe1+10)=1),LedNe1+10,""))</f>
        <v>43110</v>
      </c>
      <c r="E7" s="16">
        <f>IF(DAY(LedNe1)=1,IF(AND(YEAR(LedNe1+4)=KalendářníRok,MONTH(LedNe1+4)=1),LedNe1+4,""),IF(AND(YEAR(LedNe1+11)=KalendářníRok,MONTH(LedNe1+11)=1),LedNe1+11,""))</f>
        <v>43111</v>
      </c>
      <c r="F7" s="16">
        <f>IF(DAY(LedNe1)=1,IF(AND(YEAR(LedNe1+5)=KalendářníRok,MONTH(LedNe1+5)=1),LedNe1+5,""),IF(AND(YEAR(LedNe1+12)=KalendářníRok,MONTH(LedNe1+12)=1),LedNe1+12,""))</f>
        <v>43112</v>
      </c>
      <c r="G7" s="16">
        <f>IF(DAY(LedNe1)=1,IF(AND(YEAR(LedNe1+6)=KalendářníRok,MONTH(LedNe1+6)=1),LedNe1+6,""),IF(AND(YEAR(LedNe1+13)=KalendářníRok,MONTH(LedNe1+13)=1),LedNe1+13,""))</f>
        <v>43113</v>
      </c>
      <c r="H7" s="16">
        <f>IF(DAY(LedNe1)=1,IF(AND(YEAR(LedNe1+7)=KalendářníRok,MONTH(LedNe1+7)=1),LedNe1+7,""),IF(AND(YEAR(LedNe1+14)=KalendářníRok,MONTH(LedNe1+14)=1),LedNe1+14,""))</f>
        <v>43114</v>
      </c>
      <c r="I7" s="3"/>
    </row>
    <row r="8" spans="1:18" ht="64.5" customHeight="1" x14ac:dyDescent="0.25">
      <c r="A8"/>
      <c r="B8" s="10"/>
      <c r="C8" s="24" t="s">
        <v>88</v>
      </c>
      <c r="D8" s="24" t="s">
        <v>89</v>
      </c>
      <c r="E8" s="10"/>
      <c r="F8" s="24" t="s">
        <v>92</v>
      </c>
      <c r="G8" s="28" t="s">
        <v>93</v>
      </c>
      <c r="H8" s="11"/>
      <c r="I8" s="3"/>
    </row>
    <row r="9" spans="1:18" ht="15" customHeight="1" x14ac:dyDescent="0.25">
      <c r="A9"/>
      <c r="B9" s="17">
        <f>IF(DAY(LedNe1)=1,IF(AND(YEAR(LedNe1+8)=KalendářníRok,MONTH(LedNe1+8)=1),LedNe1+8,""),IF(AND(YEAR(LedNe1+15)=KalendářníRok,MONTH(LedNe1+15)=1),LedNe1+15,""))</f>
        <v>43115</v>
      </c>
      <c r="C9" s="17">
        <f>IF(DAY(LedNe1)=1,IF(AND(YEAR(LedNe1+9)=KalendářníRok,MONTH(LedNe1+9)=1),LedNe1+9,""),IF(AND(YEAR(LedNe1+16)=KalendářníRok,MONTH(LedNe1+16)=1),LedNe1+16,""))</f>
        <v>43116</v>
      </c>
      <c r="D9" s="17">
        <f>IF(DAY(LedNe1)=1,IF(AND(YEAR(LedNe1+10)=KalendářníRok,MONTH(LedNe1+10)=1),LedNe1+10,""),IF(AND(YEAR(LedNe1+17)=KalendářníRok,MONTH(LedNe1+17)=1),LedNe1+17,""))</f>
        <v>43117</v>
      </c>
      <c r="E9" s="17">
        <f>IF(DAY(LedNe1)=1,IF(AND(YEAR(LedNe1+11)=KalendářníRok,MONTH(LedNe1+11)=1),LedNe1+11,""),IF(AND(YEAR(LedNe1+18)=KalendářníRok,MONTH(LedNe1+18)=1),LedNe1+18,""))</f>
        <v>43118</v>
      </c>
      <c r="F9" s="17">
        <f>IF(DAY(LedNe1)=1,IF(AND(YEAR(LedNe1+12)=KalendářníRok,MONTH(LedNe1+12)=1),LedNe1+12,""),IF(AND(YEAR(LedNe1+19)=KalendářníRok,MONTH(LedNe1+19)=1),LedNe1+19,""))</f>
        <v>43119</v>
      </c>
      <c r="G9" s="17">
        <f>IF(DAY(LedNe1)=1,IF(AND(YEAR(LedNe1+13)=KalendářníRok,MONTH(LedNe1+13)=1),LedNe1+13,""),IF(AND(YEAR(LedNe1+20)=KalendářníRok,MONTH(LedNe1+20)=1),LedNe1+20,""))</f>
        <v>43120</v>
      </c>
      <c r="H9" s="17">
        <f>IF(DAY(LedNe1)=1,IF(AND(YEAR(LedNe1+14)=KalendářníRok,MONTH(LedNe1+14)=1),LedNe1+14,""),IF(AND(YEAR(LedNe1+21)=KalendářníRok,MONTH(LedNe1+21)=1),LedNe1+21,""))</f>
        <v>43121</v>
      </c>
      <c r="I9" s="3"/>
    </row>
    <row r="10" spans="1:18" ht="64.5" customHeight="1" x14ac:dyDescent="0.25">
      <c r="A10"/>
      <c r="B10" s="8"/>
      <c r="C10" s="8"/>
      <c r="D10" s="8"/>
      <c r="E10" s="8"/>
      <c r="F10" s="8"/>
      <c r="G10" s="26" t="s">
        <v>93</v>
      </c>
      <c r="H10" s="9"/>
      <c r="I10" s="3"/>
    </row>
    <row r="11" spans="1:18" ht="15" customHeight="1" x14ac:dyDescent="0.25">
      <c r="A11"/>
      <c r="B11" s="18">
        <f>IF(DAY(LedNe1)=1,IF(AND(YEAR(LedNe1+15)=KalendářníRok,MONTH(LedNe1+15)=1),LedNe1+15,""),IF(AND(YEAR(LedNe1+22)=KalendářníRok,MONTH(LedNe1+22)=1),LedNe1+22,""))</f>
        <v>43122</v>
      </c>
      <c r="C11" s="18">
        <f>IF(DAY(LedNe1)=1,IF(AND(YEAR(LedNe1+16)=KalendářníRok,MONTH(LedNe1+16)=1),LedNe1+16,""),IF(AND(YEAR(LedNe1+23)=KalendářníRok,MONTH(LedNe1+23)=1),LedNe1+23,""))</f>
        <v>43123</v>
      </c>
      <c r="D11" s="18">
        <f>IF(DAY(LedNe1)=1,IF(AND(YEAR(LedNe1+17)=KalendářníRok,MONTH(LedNe1+17)=1),LedNe1+17,""),IF(AND(YEAR(LedNe1+24)=KalendářníRok,MONTH(LedNe1+24)=1),LedNe1+24,""))</f>
        <v>43124</v>
      </c>
      <c r="E11" s="18">
        <f>IF(DAY(LedNe1)=1,IF(AND(YEAR(LedNe1+18)=KalendářníRok,MONTH(LedNe1+18)=1),LedNe1+18,""),IF(AND(YEAR(LedNe1+25)=KalendářníRok,MONTH(LedNe1+25)=1),LedNe1+25,""))</f>
        <v>43125</v>
      </c>
      <c r="F11" s="18">
        <f>IF(DAY(LedNe1)=1,IF(AND(YEAR(LedNe1+19)=KalendářníRok,MONTH(LedNe1+19)=1),LedNe1+19,""),IF(AND(YEAR(LedNe1+26)=KalendářníRok,MONTH(LedNe1+26)=1),LedNe1+26,""))</f>
        <v>43126</v>
      </c>
      <c r="G11" s="18">
        <f>IF(DAY(LedNe1)=1,IF(AND(YEAR(LedNe1+20)=KalendářníRok,MONTH(LedNe1+20)=1),LedNe1+20,""),IF(AND(YEAR(LedNe1+27)=KalendářníRok,MONTH(LedNe1+27)=1),LedNe1+27,""))</f>
        <v>43127</v>
      </c>
      <c r="H11" s="18">
        <f>IF(DAY(LedNe1)=1,IF(AND(YEAR(LedNe1+21)=KalendářníRok,MONTH(LedNe1+21)=1),LedNe1+21,""),IF(AND(YEAR(LedNe1+28)=KalendářníRok,MONTH(LedNe1+28)=1),LedNe1+28,""))</f>
        <v>43128</v>
      </c>
      <c r="I11" s="3"/>
    </row>
    <row r="12" spans="1:18" ht="64.5" customHeight="1" x14ac:dyDescent="0.25">
      <c r="A12"/>
      <c r="B12" s="24" t="s">
        <v>91</v>
      </c>
      <c r="C12" s="10"/>
      <c r="D12" s="10"/>
      <c r="E12" s="24" t="s">
        <v>94</v>
      </c>
      <c r="F12" s="10"/>
      <c r="G12" s="11"/>
      <c r="H12" s="11"/>
      <c r="I12" s="3"/>
    </row>
    <row r="13" spans="1:18" ht="15" customHeight="1" x14ac:dyDescent="0.25">
      <c r="A13"/>
      <c r="B13" s="17">
        <f>IF(DAY(LedNe1)=1,IF(AND(YEAR(LedNe1+22)=KalendářníRok,MONTH(LedNe1+22)=1),LedNe1+22,""),IF(AND(YEAR(LedNe1+29)=KalendářníRok,MONTH(LedNe1+29)=1),LedNe1+29,""))</f>
        <v>43129</v>
      </c>
      <c r="C13" s="17">
        <f>IF(DAY(LedNe1)=1,IF(AND(YEAR(LedNe1+23)=KalendářníRok,MONTH(LedNe1+23)=1),LedNe1+23,""),IF(AND(YEAR(LedNe1+30)=KalendářníRok,MONTH(LedNe1+30)=1),LedNe1+30,""))</f>
        <v>43130</v>
      </c>
      <c r="D13" s="17">
        <f>IF(DAY(LedNe1)=1,IF(AND(YEAR(LedNe1+24)=KalendářníRok,MONTH(LedNe1+24)=1),LedNe1+24,""),IF(AND(YEAR(LedNe1+31)=KalendářníRok,MONTH(LedNe1+31)=1),LedNe1+31,""))</f>
        <v>43131</v>
      </c>
      <c r="E13" s="17" t="str">
        <f>IF(DAY(LedNe1)=1,IF(AND(YEAR(LedNe1+25)=KalendářníRok,MONTH(LedNe1+25)=1),LedNe1+25,""),IF(AND(YEAR(LedNe1+32)=KalendářníRok,MONTH(LedNe1+32)=1),LedNe1+32,""))</f>
        <v/>
      </c>
      <c r="F13" s="17" t="str">
        <f>IF(DAY(LedNe1)=1,IF(AND(YEAR(LedNe1+26)=KalendářníRok,MONTH(LedNe1+26)=1),LedNe1+26,""),IF(AND(YEAR(LedNe1+33)=KalendářníRok,MONTH(LedNe1+33)=1),LedNe1+33,""))</f>
        <v/>
      </c>
      <c r="G13" s="17" t="str">
        <f>IF(DAY(LedNe1)=1,IF(AND(YEAR(LedNe1+27)=KalendářníRok,MONTH(LedNe1+27)=1),LedNe1+27,""),IF(AND(YEAR(LedNe1+34)=KalendářníRok,MONTH(LedNe1+34)=1),LedNe1+34,""))</f>
        <v/>
      </c>
      <c r="H13" s="17" t="str">
        <f>IF(DAY(LedNe1)=1,IF(AND(YEAR(LedNe1+28)=KalendářníRok,MONTH(LedNe1+28)=1),LedNe1+28,""),IF(AND(YEAR(LedNe1+35)=KalendářníRok,MONTH(LedNe1+35)=1),LedNe1+35,""))</f>
        <v/>
      </c>
      <c r="I13" s="3"/>
    </row>
    <row r="14" spans="1:18" ht="64.5" customHeight="1" x14ac:dyDescent="0.25">
      <c r="A14"/>
      <c r="B14" s="8"/>
      <c r="C14" s="25" t="s">
        <v>90</v>
      </c>
      <c r="D14" s="8"/>
      <c r="E14" s="8"/>
      <c r="F14" s="8"/>
      <c r="G14" s="9"/>
      <c r="H14" s="9"/>
      <c r="I14" s="3"/>
    </row>
    <row r="15" spans="1:18" ht="15" customHeight="1" x14ac:dyDescent="0.25">
      <c r="A15"/>
      <c r="B15" s="18" t="str">
        <f>IF(DAY(LedNe1)=1,IF(AND(YEAR(LedNe1+29)=KalendářníRok,MONTH(LedNe1+29)=1),LedNe1+29,""),IF(AND(YEAR(LedNe1+36)=KalendářníRok,MONTH(LedNe1+36)=1),LedNe1+36,""))</f>
        <v/>
      </c>
      <c r="C15" s="19" t="str">
        <f>IF(DAY(LedNe1)=1,IF(AND(YEAR(LedNe1+30)=KalendářníRok,MONTH(LedNe1+30)=1),LedNe1+30,""),IF(AND(YEAR(LedNe1+37)=KalendářníRok,MONTH(LedNe1+37)=1),LedNe1+37,""))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D16:H16"/>
    <mergeCell ref="D15:H15"/>
    <mergeCell ref="B3:F3"/>
  </mergeCells>
  <printOptions horizontalCentered="1" verticalCentered="1"/>
  <pageMargins left="0.2" right="0.2" top="0.25" bottom="0.25" header="0" footer="0"/>
  <pageSetup paperSize="9" scale="97" orientation="landscape" horizontalDpi="300" verticalDpi="300" r:id="rId1"/>
  <headerFooter scaleWithDoc="0" alignWithMargins="0"/>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6" r:id="rId5" name="Číselník 2">
              <controlPr defaultSize="0" autoPict="0" altText="Spinner control. Use spinner to change calendar year or type desired year in cell L2">
                <anchor moveWithCells="1">
                  <from>
                    <xdr:col>10</xdr:col>
                    <xdr:colOff>1047750</xdr:colOff>
                    <xdr:row>1</xdr:row>
                    <xdr:rowOff>85725</xdr:rowOff>
                  </from>
                  <to>
                    <xdr:col>11</xdr:col>
                    <xdr:colOff>114300</xdr:colOff>
                    <xdr:row>1</xdr:row>
                    <xdr:rowOff>314325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249977111117893"/>
    <pageSetUpPr fitToPage="1"/>
  </sheetPr>
  <dimension ref="A1:R20"/>
  <sheetViews>
    <sheetView showGridLines="0" zoomScaleNormal="100" workbookViewId="0"/>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UPPER(TEXT(DATE(KalendářníRok,8,1),"mmmm rrrr"))</f>
        <v>SRPEN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IF(DAY(SrpNe1)=1,"",IF(AND(YEAR(SrpNe1+1)=KalendářníRok,MONTH(SrpNe1+1)=8),SrpNe1+1,""))</f>
        <v/>
      </c>
      <c r="C5" s="15" t="str">
        <f>IF(DAY(SrpNe1)=1,"",IF(AND(YEAR(SrpNe1+2)=KalendářníRok,MONTH(SrpNe1+2)=8),SrpNe1+2,""))</f>
        <v/>
      </c>
      <c r="D5" s="15">
        <f>IF(DAY(SrpNe1)=1,"",IF(AND(YEAR(SrpNe1+3)=KalendářníRok,MONTH(SrpNe1+3)=8),SrpNe1+3,""))</f>
        <v>43313</v>
      </c>
      <c r="E5" s="15">
        <f>IF(DAY(SrpNe1)=1,"",IF(AND(YEAR(SrpNe1+4)=KalendářníRok,MONTH(SrpNe1+4)=8),SrpNe1+4,""))</f>
        <v>43314</v>
      </c>
      <c r="F5" s="15">
        <f>IF(DAY(SrpNe1)=1,"",IF(AND(YEAR(SrpNe1+5)=KalendářníRok,MONTH(SrpNe1+5)=8),SrpNe1+5,""))</f>
        <v>43315</v>
      </c>
      <c r="G5" s="15">
        <f>IF(DAY(SrpNe1)=1,"",IF(AND(YEAR(SrpNe1+6)=KalendářníRok,MONTH(SrpNe1+6)=8),SrpNe1+6,""))</f>
        <v>43316</v>
      </c>
      <c r="H5" s="15">
        <f>IF(DAY(SrpNe1)=1,IF(AND(YEAR(SrpNe1)=KalendářníRok,MONTH(SrpNe1)=8),SrpNe1,""),IF(AND(YEAR(SrpNe1+7)=KalendářníRok,MONTH(SrpNe1+7)=8),SrpNe1+7,""))</f>
        <v>43317</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f>IF(DAY(SrpNe1)=1,IF(AND(YEAR(SrpNe1+1)=KalendářníRok,MONTH(SrpNe1+1)=8),SrpNe1+1,""),IF(AND(YEAR(SrpNe1+8)=KalendářníRok,MONTH(SrpNe1+8)=8),SrpNe1+8,""))</f>
        <v>43318</v>
      </c>
      <c r="C7" s="16">
        <f>IF(DAY(SrpNe1)=1,IF(AND(YEAR(SrpNe1+2)=KalendářníRok,MONTH(SrpNe1+2)=8),SrpNe1+2,""),IF(AND(YEAR(SrpNe1+9)=KalendářníRok,MONTH(SrpNe1+9)=8),SrpNe1+9,""))</f>
        <v>43319</v>
      </c>
      <c r="D7" s="16">
        <f>IF(DAY(SrpNe1)=1,IF(AND(YEAR(SrpNe1+3)=KalendářníRok,MONTH(SrpNe1+3)=8),SrpNe1+3,""),IF(AND(YEAR(SrpNe1+10)=KalendářníRok,MONTH(SrpNe1+10)=8),SrpNe1+10,""))</f>
        <v>43320</v>
      </c>
      <c r="E7" s="16">
        <f>IF(DAY(SrpNe1)=1,IF(AND(YEAR(SrpNe1+4)=KalendářníRok,MONTH(SrpNe1+4)=8),SrpNe1+4,""),IF(AND(YEAR(SrpNe1+11)=KalendářníRok,MONTH(SrpNe1+11)=8),SrpNe1+11,""))</f>
        <v>43321</v>
      </c>
      <c r="F7" s="16">
        <f>IF(DAY(SrpNe1)=1,IF(AND(YEAR(SrpNe1+5)=KalendářníRok,MONTH(SrpNe1+5)=8),SrpNe1+5,""),IF(AND(YEAR(SrpNe1+12)=KalendářníRok,MONTH(SrpNe1+12)=8),SrpNe1+12,""))</f>
        <v>43322</v>
      </c>
      <c r="G7" s="16">
        <f>IF(DAY(SrpNe1)=1,IF(AND(YEAR(SrpNe1+6)=KalendářníRok,MONTH(SrpNe1+6)=8),SrpNe1+6,""),IF(AND(YEAR(SrpNe1+13)=KalendářníRok,MONTH(SrpNe1+13)=8),SrpNe1+13,""))</f>
        <v>43323</v>
      </c>
      <c r="H7" s="16">
        <f>IF(DAY(SrpNe1)=1,IF(AND(YEAR(SrpNe1+7)=KalendářníRok,MONTH(SrpNe1+7)=8),SrpNe1+7,""),IF(AND(YEAR(SrpNe1+14)=KalendářníRok,MONTH(SrpNe1+14)=8),SrpNe1+14,""))</f>
        <v>43324</v>
      </c>
      <c r="I7" s="3"/>
    </row>
    <row r="8" spans="1:18" ht="64.5" customHeight="1" x14ac:dyDescent="0.25">
      <c r="A8"/>
      <c r="B8" s="10"/>
      <c r="C8" s="10"/>
      <c r="D8" s="10"/>
      <c r="E8" s="10"/>
      <c r="F8" s="10"/>
      <c r="G8" s="11"/>
      <c r="H8" s="11"/>
      <c r="I8" s="3"/>
    </row>
    <row r="9" spans="1:18" ht="15" customHeight="1" x14ac:dyDescent="0.25">
      <c r="A9"/>
      <c r="B9" s="17">
        <f>IF(DAY(SrpNe1)=1,IF(AND(YEAR(SrpNe1+8)=KalendářníRok,MONTH(SrpNe1+8)=8),SrpNe1+8,""),IF(AND(YEAR(SrpNe1+15)=KalendářníRok,MONTH(SrpNe1+15)=8),SrpNe1+15,""))</f>
        <v>43325</v>
      </c>
      <c r="C9" s="17">
        <f>IF(DAY(SrpNe1)=1,IF(AND(YEAR(SrpNe1+9)=KalendářníRok,MONTH(SrpNe1+9)=8),SrpNe1+9,""),IF(AND(YEAR(SrpNe1+16)=KalendářníRok,MONTH(SrpNe1+16)=8),SrpNe1+16,""))</f>
        <v>43326</v>
      </c>
      <c r="D9" s="17">
        <f>IF(DAY(SrpNe1)=1,IF(AND(YEAR(SrpNe1+10)=KalendářníRok,MONTH(SrpNe1+10)=8),SrpNe1+10,""),IF(AND(YEAR(SrpNe1+17)=KalendářníRok,MONTH(SrpNe1+17)=8),SrpNe1+17,""))</f>
        <v>43327</v>
      </c>
      <c r="E9" s="17">
        <f>IF(DAY(SrpNe1)=1,IF(AND(YEAR(SrpNe1+11)=KalendářníRok,MONTH(SrpNe1+11)=8),SrpNe1+11,""),IF(AND(YEAR(SrpNe1+18)=KalendářníRok,MONTH(SrpNe1+18)=8),SrpNe1+18,""))</f>
        <v>43328</v>
      </c>
      <c r="F9" s="17">
        <f>IF(DAY(SrpNe1)=1,IF(AND(YEAR(SrpNe1+12)=KalendářníRok,MONTH(SrpNe1+12)=8),SrpNe1+12,""),IF(AND(YEAR(SrpNe1+19)=KalendářníRok,MONTH(SrpNe1+19)=8),SrpNe1+19,""))</f>
        <v>43329</v>
      </c>
      <c r="G9" s="17">
        <f>IF(DAY(SrpNe1)=1,IF(AND(YEAR(SrpNe1+13)=KalendářníRok,MONTH(SrpNe1+13)=8),SrpNe1+13,""),IF(AND(YEAR(SrpNe1+20)=KalendářníRok,MONTH(SrpNe1+20)=8),SrpNe1+20,""))</f>
        <v>43330</v>
      </c>
      <c r="H9" s="17">
        <f>IF(DAY(SrpNe1)=1,IF(AND(YEAR(SrpNe1+14)=KalendářníRok,MONTH(SrpNe1+14)=8),SrpNe1+14,""),IF(AND(YEAR(SrpNe1+21)=KalendářníRok,MONTH(SrpNe1+21)=8),SrpNe1+21,""))</f>
        <v>43331</v>
      </c>
      <c r="I9" s="3"/>
    </row>
    <row r="10" spans="1:18" ht="64.5" customHeight="1" x14ac:dyDescent="0.25">
      <c r="A10"/>
      <c r="B10" s="8"/>
      <c r="C10" s="8"/>
      <c r="D10" s="8"/>
      <c r="E10" s="8"/>
      <c r="F10" s="8"/>
      <c r="G10" s="9"/>
      <c r="H10" s="9"/>
      <c r="I10" s="3"/>
    </row>
    <row r="11" spans="1:18" ht="15" customHeight="1" x14ac:dyDescent="0.25">
      <c r="A11"/>
      <c r="B11" s="18">
        <f>IF(DAY(SrpNe1)=1,IF(AND(YEAR(SrpNe1+15)=KalendářníRok,MONTH(SrpNe1+15)=8),SrpNe1+15,""),IF(AND(YEAR(SrpNe1+22)=KalendářníRok,MONTH(SrpNe1+22)=8),SrpNe1+22,""))</f>
        <v>43332</v>
      </c>
      <c r="C11" s="18">
        <f>IF(DAY(SrpNe1)=1,IF(AND(YEAR(SrpNe1+16)=KalendářníRok,MONTH(SrpNe1+16)=8),SrpNe1+16,""),IF(AND(YEAR(SrpNe1+23)=KalendářníRok,MONTH(SrpNe1+23)=8),SrpNe1+23,""))</f>
        <v>43333</v>
      </c>
      <c r="D11" s="18">
        <f>IF(DAY(SrpNe1)=1,IF(AND(YEAR(SrpNe1+17)=KalendářníRok,MONTH(SrpNe1+17)=8),SrpNe1+17,""),IF(AND(YEAR(SrpNe1+24)=KalendářníRok,MONTH(SrpNe1+24)=8),SrpNe1+24,""))</f>
        <v>43334</v>
      </c>
      <c r="E11" s="18">
        <f>IF(DAY(SrpNe1)=1,IF(AND(YEAR(SrpNe1+18)=KalendářníRok,MONTH(SrpNe1+18)=8),SrpNe1+18,""),IF(AND(YEAR(SrpNe1+25)=KalendářníRok,MONTH(SrpNe1+25)=8),SrpNe1+25,""))</f>
        <v>43335</v>
      </c>
      <c r="F11" s="18">
        <f>IF(DAY(SrpNe1)=1,IF(AND(YEAR(SrpNe1+19)=KalendářníRok,MONTH(SrpNe1+19)=8),SrpNe1+19,""),IF(AND(YEAR(SrpNe1+26)=KalendářníRok,MONTH(SrpNe1+26)=8),SrpNe1+26,""))</f>
        <v>43336</v>
      </c>
      <c r="G11" s="18">
        <f>IF(DAY(SrpNe1)=1,IF(AND(YEAR(SrpNe1+20)=KalendářníRok,MONTH(SrpNe1+20)=8),SrpNe1+20,""),IF(AND(YEAR(SrpNe1+27)=KalendářníRok,MONTH(SrpNe1+27)=8),SrpNe1+27,""))</f>
        <v>43337</v>
      </c>
      <c r="H11" s="18">
        <f>IF(DAY(SrpNe1)=1,IF(AND(YEAR(SrpNe1+21)=KalendářníRok,MONTH(SrpNe1+21)=8),SrpNe1+21,""),IF(AND(YEAR(SrpNe1+28)=KalendářníRok,MONTH(SrpNe1+28)=8),SrpNe1+28,""))</f>
        <v>43338</v>
      </c>
      <c r="I11" s="3"/>
    </row>
    <row r="12" spans="1:18" ht="64.5" customHeight="1" x14ac:dyDescent="0.25">
      <c r="A12"/>
      <c r="B12" s="10"/>
      <c r="C12" s="10"/>
      <c r="D12" s="10"/>
      <c r="E12" s="10"/>
      <c r="F12" s="10"/>
      <c r="G12" s="11"/>
      <c r="H12" s="11"/>
      <c r="I12" s="3"/>
    </row>
    <row r="13" spans="1:18" ht="15" customHeight="1" x14ac:dyDescent="0.25">
      <c r="A13"/>
      <c r="B13" s="17">
        <f>IF(DAY(SrpNe1)=1,IF(AND(YEAR(SrpNe1+22)=KalendářníRok,MONTH(SrpNe1+22)=8),SrpNe1+22,""),IF(AND(YEAR(SrpNe1+29)=KalendářníRok,MONTH(SrpNe1+29)=8),SrpNe1+29,""))</f>
        <v>43339</v>
      </c>
      <c r="C13" s="17">
        <f>IF(DAY(SrpNe1)=1,IF(AND(YEAR(SrpNe1+23)=KalendářníRok,MONTH(SrpNe1+23)=8),SrpNe1+23,""),IF(AND(YEAR(SrpNe1+30)=KalendářníRok,MONTH(SrpNe1+30)=8),SrpNe1+30,""))</f>
        <v>43340</v>
      </c>
      <c r="D13" s="17">
        <f>IF(DAY(SrpNe1)=1,IF(AND(YEAR(SrpNe1+24)=KalendářníRok,MONTH(SrpNe1+24)=8),SrpNe1+24,""),IF(AND(YEAR(SrpNe1+31)=KalendářníRok,MONTH(SrpNe1+31)=8),SrpNe1+31,""))</f>
        <v>43341</v>
      </c>
      <c r="E13" s="17">
        <f>IF(DAY(SrpNe1)=1,IF(AND(YEAR(SrpNe1+25)=KalendářníRok,MONTH(SrpNe1+25)=8),SrpNe1+25,""),IF(AND(YEAR(SrpNe1+32)=KalendářníRok,MONTH(SrpNe1+32)=8),SrpNe1+32,""))</f>
        <v>43342</v>
      </c>
      <c r="F13" s="17">
        <f>IF(DAY(SrpNe1)=1,IF(AND(YEAR(SrpNe1+26)=KalendářníRok,MONTH(SrpNe1+26)=8),SrpNe1+26,""),IF(AND(YEAR(SrpNe1+33)=KalendářníRok,MONTH(SrpNe1+33)=8),SrpNe1+33,""))</f>
        <v>43343</v>
      </c>
      <c r="G13" s="17" t="str">
        <f>IF(DAY(SrpNe1)=1,IF(AND(YEAR(SrpNe1+27)=KalendářníRok,MONTH(SrpNe1+27)=8),SrpNe1+27,""),IF(AND(YEAR(SrpNe1+34)=KalendářníRok,MONTH(SrpNe1+34)=8),SrpNe1+34,""))</f>
        <v/>
      </c>
      <c r="H13" s="17" t="str">
        <f>IF(DAY(SrpNe1)=1,IF(AND(YEAR(SrpNe1+28)=KalendářníRok,MONTH(SrpNe1+28)=8),SrpNe1+28,""),IF(AND(YEAR(SrpNe1+35)=KalendářníRok,MONTH(SrpNe1+35)=8),SrpNe1+35,""))</f>
        <v/>
      </c>
      <c r="I13" s="3"/>
    </row>
    <row r="14" spans="1:18" ht="64.5" customHeight="1" x14ac:dyDescent="0.25">
      <c r="A14"/>
      <c r="B14" s="8"/>
      <c r="C14" s="8"/>
      <c r="D14" s="8"/>
      <c r="E14" s="8"/>
      <c r="F14" s="8"/>
      <c r="G14" s="9"/>
      <c r="H14" s="9"/>
      <c r="I14" s="3"/>
    </row>
    <row r="15" spans="1:18" ht="15" customHeight="1" x14ac:dyDescent="0.25">
      <c r="A15"/>
      <c r="B15" s="18" t="str">
        <f>IF(DAY(SrpNe1)=1,IF(AND(YEAR(SrpNe1+29)=KalendářníRok,MONTH(SrpNe1+29)=8),SrpNe1+29,""),IF(AND(YEAR(SrpNe1+36)=KalendářníRok,MONTH(SrpNe1+36)=8),SrpNe1+36,""))</f>
        <v/>
      </c>
      <c r="C15" s="19" t="str">
        <f>IF(DAY(SrpNe1)=1,IF(AND(YEAR(SrpNe1+30)=KalendářníRok,MONTH(SrpNe1+30)=8),SrpNe1+30,""),IF(AND(YEAR(SrpNe1+37)=KalendářníRok,MONTH(SrpNe1+37)=8),SrpNe1+37,""))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3" orientation="landscape"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pageSetUpPr fitToPage="1"/>
  </sheetPr>
  <dimension ref="A1:R20"/>
  <sheetViews>
    <sheetView showGridLines="0" zoomScaleNormal="100" workbookViewId="0">
      <selection activeCell="D12" sqref="D12"/>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UPPER(TEXT(DATE(KalendářníRok,9,1),"mmmm rrrr"))</f>
        <v>ZÁŘÍ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IF(DAY(ZáříNe1)=1,"",IF(AND(YEAR(ZáříNe1+1)=KalendářníRok,MONTH(ZáříNe1+1)=9),ZáříNe1+1,""))</f>
        <v/>
      </c>
      <c r="C5" s="15" t="str">
        <f>IF(DAY(ZáříNe1)=1,"",IF(AND(YEAR(ZáříNe1+2)=KalendářníRok,MONTH(ZáříNe1+2)=9),ZáříNe1+2,""))</f>
        <v/>
      </c>
      <c r="D5" s="15" t="str">
        <f>IF(DAY(ZáříNe1)=1,"",IF(AND(YEAR(ZáříNe1+3)=KalendářníRok,MONTH(ZáříNe1+3)=9),ZáříNe1+3,""))</f>
        <v/>
      </c>
      <c r="E5" s="15" t="str">
        <f>IF(DAY(ZáříNe1)=1,"",IF(AND(YEAR(ZáříNe1+4)=KalendářníRok,MONTH(ZáříNe1+4)=9),ZáříNe1+4,""))</f>
        <v/>
      </c>
      <c r="F5" s="15" t="str">
        <f>IF(DAY(ZáříNe1)=1,"",IF(AND(YEAR(ZáříNe1+5)=KalendářníRok,MONTH(ZáříNe1+5)=9),ZáříNe1+5,""))</f>
        <v/>
      </c>
      <c r="G5" s="15">
        <f>IF(DAY(ZáříNe1)=1,"",IF(AND(YEAR(ZáříNe1+6)=KalendářníRok,MONTH(ZáříNe1+6)=9),ZáříNe1+6,""))</f>
        <v>43344</v>
      </c>
      <c r="H5" s="15">
        <f>IF(DAY(ZáříNe1)=1,IF(AND(YEAR(ZáříNe1)=KalendářníRok,MONTH(ZáříNe1)=9),ZáříNe1,""),IF(AND(YEAR(ZáříNe1+7)=KalendářníRok,MONTH(ZáříNe1+7)=9),ZáříNe1+7,""))</f>
        <v>43345</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f>IF(DAY(ZáříNe1)=1,IF(AND(YEAR(ZáříNe1+1)=KalendářníRok,MONTH(ZáříNe1+1)=9),ZáříNe1+1,""),IF(AND(YEAR(ZáříNe1+8)=KalendářníRok,MONTH(ZáříNe1+8)=9),ZáříNe1+8,""))</f>
        <v>43346</v>
      </c>
      <c r="C7" s="16">
        <f>IF(DAY(ZáříNe1)=1,IF(AND(YEAR(ZáříNe1+2)=KalendářníRok,MONTH(ZáříNe1+2)=9),ZáříNe1+2,""),IF(AND(YEAR(ZáříNe1+9)=KalendářníRok,MONTH(ZáříNe1+9)=9),ZáříNe1+9,""))</f>
        <v>43347</v>
      </c>
      <c r="D7" s="16">
        <f>IF(DAY(ZáříNe1)=1,IF(AND(YEAR(ZáříNe1+3)=KalendářníRok,MONTH(ZáříNe1+3)=9),ZáříNe1+3,""),IF(AND(YEAR(ZáříNe1+10)=KalendářníRok,MONTH(ZáříNe1+10)=9),ZáříNe1+10,""))</f>
        <v>43348</v>
      </c>
      <c r="E7" s="16">
        <f>IF(DAY(ZáříNe1)=1,IF(AND(YEAR(ZáříNe1+4)=KalendářníRok,MONTH(ZáříNe1+4)=9),ZáříNe1+4,""),IF(AND(YEAR(ZáříNe1+11)=KalendářníRok,MONTH(ZáříNe1+11)=9),ZáříNe1+11,""))</f>
        <v>43349</v>
      </c>
      <c r="F7" s="16">
        <f>IF(DAY(ZáříNe1)=1,IF(AND(YEAR(ZáříNe1+5)=KalendářníRok,MONTH(ZáříNe1+5)=9),ZáříNe1+5,""),IF(AND(YEAR(ZáříNe1+12)=KalendářníRok,MONTH(ZáříNe1+12)=9),ZáříNe1+12,""))</f>
        <v>43350</v>
      </c>
      <c r="G7" s="16">
        <f>IF(DAY(ZáříNe1)=1,IF(AND(YEAR(ZáříNe1+6)=KalendářníRok,MONTH(ZáříNe1+6)=9),ZáříNe1+6,""),IF(AND(YEAR(ZáříNe1+13)=KalendářníRok,MONTH(ZáříNe1+13)=9),ZáříNe1+13,""))</f>
        <v>43351</v>
      </c>
      <c r="H7" s="16">
        <f>IF(DAY(ZáříNe1)=1,IF(AND(YEAR(ZáříNe1+7)=KalendářníRok,MONTH(ZáříNe1+7)=9),ZáříNe1+7,""),IF(AND(YEAR(ZáříNe1+14)=KalendářníRok,MONTH(ZáříNe1+14)=9),ZáříNe1+14,""))</f>
        <v>43352</v>
      </c>
      <c r="I7" s="3"/>
    </row>
    <row r="8" spans="1:18" ht="64.5" customHeight="1" x14ac:dyDescent="0.25">
      <c r="A8"/>
      <c r="B8" s="10" t="s">
        <v>38</v>
      </c>
      <c r="C8" s="10"/>
      <c r="D8" s="10"/>
      <c r="E8" s="10"/>
      <c r="F8" s="10"/>
      <c r="G8" s="11" t="s">
        <v>42</v>
      </c>
      <c r="H8" s="11"/>
      <c r="I8" s="3"/>
    </row>
    <row r="9" spans="1:18" ht="15" customHeight="1" x14ac:dyDescent="0.25">
      <c r="A9"/>
      <c r="B9" s="17">
        <f>IF(DAY(ZáříNe1)=1,IF(AND(YEAR(ZáříNe1+8)=KalendářníRok,MONTH(ZáříNe1+8)=9),ZáříNe1+8,""),IF(AND(YEAR(ZáříNe1+15)=KalendářníRok,MONTH(ZáříNe1+15)=9),ZáříNe1+15,""))</f>
        <v>43353</v>
      </c>
      <c r="C9" s="17">
        <f>IF(DAY(ZáříNe1)=1,IF(AND(YEAR(ZáříNe1+9)=KalendářníRok,MONTH(ZáříNe1+9)=9),ZáříNe1+9,""),IF(AND(YEAR(ZáříNe1+16)=KalendářníRok,MONTH(ZáříNe1+16)=9),ZáříNe1+16,""))</f>
        <v>43354</v>
      </c>
      <c r="D9" s="17">
        <f>IF(DAY(ZáříNe1)=1,IF(AND(YEAR(ZáříNe1+10)=KalendářníRok,MONTH(ZáříNe1+10)=9),ZáříNe1+10,""),IF(AND(YEAR(ZáříNe1+17)=KalendářníRok,MONTH(ZáříNe1+17)=9),ZáříNe1+17,""))</f>
        <v>43355</v>
      </c>
      <c r="E9" s="17">
        <f>IF(DAY(ZáříNe1)=1,IF(AND(YEAR(ZáříNe1+11)=KalendářníRok,MONTH(ZáříNe1+11)=9),ZáříNe1+11,""),IF(AND(YEAR(ZáříNe1+18)=KalendářníRok,MONTH(ZáříNe1+18)=9),ZáříNe1+18,""))</f>
        <v>43356</v>
      </c>
      <c r="F9" s="17">
        <f>IF(DAY(ZáříNe1)=1,IF(AND(YEAR(ZáříNe1+12)=KalendářníRok,MONTH(ZáříNe1+12)=9),ZáříNe1+12,""),IF(AND(YEAR(ZáříNe1+19)=KalendářníRok,MONTH(ZáříNe1+19)=9),ZáříNe1+19,""))</f>
        <v>43357</v>
      </c>
      <c r="G9" s="17">
        <f>IF(DAY(ZáříNe1)=1,IF(AND(YEAR(ZáříNe1+13)=KalendářníRok,MONTH(ZáříNe1+13)=9),ZáříNe1+13,""),IF(AND(YEAR(ZáříNe1+20)=KalendářníRok,MONTH(ZáříNe1+20)=9),ZáříNe1+20,""))</f>
        <v>43358</v>
      </c>
      <c r="H9" s="17">
        <f>IF(DAY(ZáříNe1)=1,IF(AND(YEAR(ZáříNe1+14)=KalendářníRok,MONTH(ZáříNe1+14)=9),ZáříNe1+14,""),IF(AND(YEAR(ZáříNe1+21)=KalendářníRok,MONTH(ZáříNe1+21)=9),ZáříNe1+21,""))</f>
        <v>43359</v>
      </c>
      <c r="I9" s="3"/>
    </row>
    <row r="10" spans="1:18" ht="64.5" customHeight="1" x14ac:dyDescent="0.25">
      <c r="A10"/>
      <c r="B10" s="8"/>
      <c r="C10" s="8"/>
      <c r="D10" s="8" t="s">
        <v>22</v>
      </c>
      <c r="E10" s="8"/>
      <c r="F10" s="8"/>
      <c r="G10" s="9" t="s">
        <v>39</v>
      </c>
      <c r="H10" s="9"/>
      <c r="I10" s="3"/>
    </row>
    <row r="11" spans="1:18" ht="15" customHeight="1" x14ac:dyDescent="0.25">
      <c r="A11"/>
      <c r="B11" s="18">
        <f>IF(DAY(ZáříNe1)=1,IF(AND(YEAR(ZáříNe1+15)=KalendářníRok,MONTH(ZáříNe1+15)=9),ZáříNe1+15,""),IF(AND(YEAR(ZáříNe1+22)=KalendářníRok,MONTH(ZáříNe1+22)=9),ZáříNe1+22,""))</f>
        <v>43360</v>
      </c>
      <c r="C11" s="18">
        <f>IF(DAY(ZáříNe1)=1,IF(AND(YEAR(ZáříNe1+16)=KalendářníRok,MONTH(ZáříNe1+16)=9),ZáříNe1+16,""),IF(AND(YEAR(ZáříNe1+23)=KalendářníRok,MONTH(ZáříNe1+23)=9),ZáříNe1+23,""))</f>
        <v>43361</v>
      </c>
      <c r="D11" s="18">
        <f>IF(DAY(ZáříNe1)=1,IF(AND(YEAR(ZáříNe1+17)=KalendářníRok,MONTH(ZáříNe1+17)=9),ZáříNe1+17,""),IF(AND(YEAR(ZáříNe1+24)=KalendářníRok,MONTH(ZáříNe1+24)=9),ZáříNe1+24,""))</f>
        <v>43362</v>
      </c>
      <c r="E11" s="18">
        <f>IF(DAY(ZáříNe1)=1,IF(AND(YEAR(ZáříNe1+18)=KalendářníRok,MONTH(ZáříNe1+18)=9),ZáříNe1+18,""),IF(AND(YEAR(ZáříNe1+25)=KalendářníRok,MONTH(ZáříNe1+25)=9),ZáříNe1+25,""))</f>
        <v>43363</v>
      </c>
      <c r="F11" s="18">
        <f>IF(DAY(ZáříNe1)=1,IF(AND(YEAR(ZáříNe1+19)=KalendářníRok,MONTH(ZáříNe1+19)=9),ZáříNe1+19,""),IF(AND(YEAR(ZáříNe1+26)=KalendářníRok,MONTH(ZáříNe1+26)=9),ZáříNe1+26,""))</f>
        <v>43364</v>
      </c>
      <c r="G11" s="18">
        <f>IF(DAY(ZáříNe1)=1,IF(AND(YEAR(ZáříNe1+20)=KalendářníRok,MONTH(ZáříNe1+20)=9),ZáříNe1+20,""),IF(AND(YEAR(ZáříNe1+27)=KalendářníRok,MONTH(ZáříNe1+27)=9),ZáříNe1+27,""))</f>
        <v>43365</v>
      </c>
      <c r="H11" s="18">
        <f>IF(DAY(ZáříNe1)=1,IF(AND(YEAR(ZáříNe1+21)=KalendářníRok,MONTH(ZáříNe1+21)=9),ZáříNe1+21,""),IF(AND(YEAR(ZáříNe1+28)=KalendářníRok,MONTH(ZáříNe1+28)=9),ZáříNe1+28,""))</f>
        <v>43366</v>
      </c>
      <c r="I11" s="3"/>
    </row>
    <row r="12" spans="1:18" ht="64.5" customHeight="1" x14ac:dyDescent="0.25">
      <c r="A12"/>
      <c r="B12" s="10"/>
      <c r="C12" s="10"/>
      <c r="D12" s="10" t="s">
        <v>43</v>
      </c>
      <c r="E12" s="10"/>
      <c r="F12" s="10"/>
      <c r="G12" s="11"/>
      <c r="H12" s="11"/>
      <c r="I12" s="3"/>
    </row>
    <row r="13" spans="1:18" ht="15" customHeight="1" x14ac:dyDescent="0.25">
      <c r="A13"/>
      <c r="B13" s="17">
        <f>IF(DAY(ZáříNe1)=1,IF(AND(YEAR(ZáříNe1+22)=KalendářníRok,MONTH(ZáříNe1+22)=9),ZáříNe1+22,""),IF(AND(YEAR(ZáříNe1+29)=KalendářníRok,MONTH(ZáříNe1+29)=9),ZáříNe1+29,""))</f>
        <v>43367</v>
      </c>
      <c r="C13" s="17">
        <f>IF(DAY(ZáříNe1)=1,IF(AND(YEAR(ZáříNe1+23)=KalendářníRok,MONTH(ZáříNe1+23)=9),ZáříNe1+23,""),IF(AND(YEAR(ZáříNe1+30)=KalendářníRok,MONTH(ZáříNe1+30)=9),ZáříNe1+30,""))</f>
        <v>43368</v>
      </c>
      <c r="D13" s="17">
        <f>IF(DAY(ZáříNe1)=1,IF(AND(YEAR(ZáříNe1+24)=KalendářníRok,MONTH(ZáříNe1+24)=9),ZáříNe1+24,""),IF(AND(YEAR(ZáříNe1+31)=KalendářníRok,MONTH(ZáříNe1+31)=9),ZáříNe1+31,""))</f>
        <v>43369</v>
      </c>
      <c r="E13" s="17">
        <f>IF(DAY(ZáříNe1)=1,IF(AND(YEAR(ZáříNe1+25)=KalendářníRok,MONTH(ZáříNe1+25)=9),ZáříNe1+25,""),IF(AND(YEAR(ZáříNe1+32)=KalendářníRok,MONTH(ZáříNe1+32)=9),ZáříNe1+32,""))</f>
        <v>43370</v>
      </c>
      <c r="F13" s="17">
        <f>IF(DAY(ZáříNe1)=1,IF(AND(YEAR(ZáříNe1+26)=KalendářníRok,MONTH(ZáříNe1+26)=9),ZáříNe1+26,""),IF(AND(YEAR(ZáříNe1+33)=KalendářníRok,MONTH(ZáříNe1+33)=9),ZáříNe1+33,""))</f>
        <v>43371</v>
      </c>
      <c r="G13" s="17">
        <f>IF(DAY(ZáříNe1)=1,IF(AND(YEAR(ZáříNe1+27)=KalendářníRok,MONTH(ZáříNe1+27)=9),ZáříNe1+27,""),IF(AND(YEAR(ZáříNe1+34)=KalendářníRok,MONTH(ZáříNe1+34)=9),ZáříNe1+34,""))</f>
        <v>43372</v>
      </c>
      <c r="H13" s="17">
        <f>IF(DAY(ZáříNe1)=1,IF(AND(YEAR(ZáříNe1+28)=KalendářníRok,MONTH(ZáříNe1+28)=9),ZáříNe1+28,""),IF(AND(YEAR(ZáříNe1+35)=KalendářníRok,MONTH(ZáříNe1+35)=9),ZáříNe1+35,""))</f>
        <v>43373</v>
      </c>
      <c r="I13" s="3"/>
    </row>
    <row r="14" spans="1:18" ht="64.5" customHeight="1" x14ac:dyDescent="0.25">
      <c r="A14"/>
      <c r="B14" s="8"/>
      <c r="C14" s="8"/>
      <c r="D14" s="8"/>
      <c r="E14" s="8" t="s">
        <v>40</v>
      </c>
      <c r="F14" s="8"/>
      <c r="G14" s="9"/>
      <c r="H14" s="9"/>
      <c r="I14" s="3"/>
    </row>
    <row r="15" spans="1:18" ht="15" customHeight="1" x14ac:dyDescent="0.25">
      <c r="A15"/>
      <c r="B15" s="18" t="str">
        <f>IF(DAY(ZáříNe1)=1,IF(AND(YEAR(ZáříNe1+29)=KalendářníRok,MONTH(ZáříNe1+29)=9),ZáříNe1+29,""),IF(AND(YEAR(ZáříNe1+36)=KalendářníRok,MONTH(ZáříNe1+36)=9),ZáříNe1+36,""))</f>
        <v/>
      </c>
      <c r="C15" s="19" t="str">
        <f>IF(DAY(ZáříNe1)=1,IF(AND(YEAR(ZáříNe1+30)=KalendářníRok,MONTH(ZáříNe1+30)=9),ZáříNe1+30,""),IF(AND(YEAR(ZáříNe1+37)=KalendářníRok,MONTH(ZáříNe1+37)=9),ZáříNe1+37,""))</f>
        <v/>
      </c>
      <c r="D15" s="33" t="s">
        <v>7</v>
      </c>
      <c r="E15" s="34"/>
      <c r="F15" s="34"/>
      <c r="G15" s="34"/>
      <c r="H15" s="35"/>
      <c r="I15" s="3"/>
    </row>
    <row r="16" spans="1:18" ht="64.5" customHeight="1" x14ac:dyDescent="0.25">
      <c r="A16"/>
      <c r="B16" s="10"/>
      <c r="C16" s="10"/>
      <c r="D16" s="30" t="s">
        <v>41</v>
      </c>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8" orientation="landscape" horizontalDpi="360" verticalDpi="360"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20"/>
  <sheetViews>
    <sheetView showGridLines="0" topLeftCell="A4" zoomScaleNormal="100" workbookViewId="0">
      <selection activeCell="C16" sqref="C16"/>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UPPER(TEXT(DATE(KalendářníRok,10,1),"mmmm rrrr"))</f>
        <v>ŘÍJEN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f>IF(DAY(ŘíjNe1)=1,"",IF(AND(YEAR(ŘíjNe1+1)=KalendářníRok,MONTH(ŘíjNe1+1)=10),ŘíjNe1+1,""))</f>
        <v>43374</v>
      </c>
      <c r="C5" s="15">
        <f>IF(DAY(ŘíjNe1)=1,"",IF(AND(YEAR(ŘíjNe1+2)=KalendářníRok,MONTH(ŘíjNe1+2)=10),ŘíjNe1+2,""))</f>
        <v>43375</v>
      </c>
      <c r="D5" s="15">
        <f>IF(DAY(ŘíjNe1)=1,"",IF(AND(YEAR(ŘíjNe1+3)=KalendářníRok,MONTH(ŘíjNe1+3)=10),ŘíjNe1+3,""))</f>
        <v>43376</v>
      </c>
      <c r="E5" s="15">
        <f>IF(DAY(ŘíjNe1)=1,"",IF(AND(YEAR(ŘíjNe1+4)=KalendářníRok,MONTH(ŘíjNe1+4)=10),ŘíjNe1+4,""))</f>
        <v>43377</v>
      </c>
      <c r="F5" s="15">
        <f>IF(DAY(ŘíjNe1)=1,"",IF(AND(YEAR(ŘíjNe1+5)=KalendářníRok,MONTH(ŘíjNe1+5)=10),ŘíjNe1+5,""))</f>
        <v>43378</v>
      </c>
      <c r="G5" s="15">
        <f>IF(DAY(ŘíjNe1)=1,"",IF(AND(YEAR(ŘíjNe1+6)=KalendářníRok,MONTH(ŘíjNe1+6)=10),ŘíjNe1+6,""))</f>
        <v>43379</v>
      </c>
      <c r="H5" s="15">
        <f>IF(DAY(ŘíjNe1)=1,IF(AND(YEAR(ŘíjNe1)=KalendářníRok,MONTH(ŘíjNe1)=10),ŘíjNe1,""),IF(AND(YEAR(ŘíjNe1+7)=KalendářníRok,MONTH(ŘíjNe1+7)=10),ŘíjNe1+7,""))</f>
        <v>43380</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t="s">
        <v>46</v>
      </c>
      <c r="C7" s="16">
        <f>IF(DAY(ŘíjNe1)=1,IF(AND(YEAR(ŘíjNe1+2)=KalendářníRok,MONTH(ŘíjNe1+2)=10),ŘíjNe1+2,""),IF(AND(YEAR(ŘíjNe1+9)=KalendářníRok,MONTH(ŘíjNe1+9)=10),ŘíjNe1+9,""))</f>
        <v>43382</v>
      </c>
      <c r="D7" s="16">
        <f>IF(DAY(ŘíjNe1)=1,IF(AND(YEAR(ŘíjNe1+3)=KalendářníRok,MONTH(ŘíjNe1+3)=10),ŘíjNe1+3,""),IF(AND(YEAR(ŘíjNe1+10)=KalendářníRok,MONTH(ŘíjNe1+10)=10),ŘíjNe1+10,""))</f>
        <v>43383</v>
      </c>
      <c r="E7" s="16">
        <f>IF(DAY(ŘíjNe1)=1,IF(AND(YEAR(ŘíjNe1+4)=KalendářníRok,MONTH(ŘíjNe1+4)=10),ŘíjNe1+4,""),IF(AND(YEAR(ŘíjNe1+11)=KalendářníRok,MONTH(ŘíjNe1+11)=10),ŘíjNe1+11,""))</f>
        <v>43384</v>
      </c>
      <c r="F7" s="16">
        <f>IF(DAY(ŘíjNe1)=1,IF(AND(YEAR(ŘíjNe1+5)=KalendářníRok,MONTH(ŘíjNe1+5)=10),ŘíjNe1+5,""),IF(AND(YEAR(ŘíjNe1+12)=KalendářníRok,MONTH(ŘíjNe1+12)=10),ŘíjNe1+12,""))</f>
        <v>43385</v>
      </c>
      <c r="G7" s="16">
        <f>IF(DAY(ŘíjNe1)=1,IF(AND(YEAR(ŘíjNe1+6)=KalendářníRok,MONTH(ŘíjNe1+6)=10),ŘíjNe1+6,""),IF(AND(YEAR(ŘíjNe1+13)=KalendářníRok,MONTH(ŘíjNe1+13)=10),ŘíjNe1+13,""))</f>
        <v>43386</v>
      </c>
      <c r="H7" s="16">
        <f>IF(DAY(ŘíjNe1)=1,IF(AND(YEAR(ŘíjNe1+7)=KalendářníRok,MONTH(ŘíjNe1+7)=10),ŘíjNe1+7,""),IF(AND(YEAR(ŘíjNe1+14)=KalendářníRok,MONTH(ŘíjNe1+14)=10),ŘíjNe1+14,""))</f>
        <v>43387</v>
      </c>
      <c r="I7" s="3"/>
    </row>
    <row r="8" spans="1:18" ht="64.5" customHeight="1" x14ac:dyDescent="0.25">
      <c r="A8"/>
      <c r="B8" s="10" t="s">
        <v>47</v>
      </c>
      <c r="C8" s="10"/>
      <c r="D8" s="10" t="s">
        <v>45</v>
      </c>
      <c r="E8" s="10"/>
      <c r="F8" s="10" t="s">
        <v>55</v>
      </c>
      <c r="G8" s="11" t="s">
        <v>44</v>
      </c>
      <c r="H8" s="11"/>
      <c r="I8" s="3"/>
    </row>
    <row r="9" spans="1:18" ht="15" customHeight="1" x14ac:dyDescent="0.25">
      <c r="A9"/>
      <c r="B9" s="17">
        <f>IF(DAY(ŘíjNe1)=1,IF(AND(YEAR(ŘíjNe1+8)=KalendářníRok,MONTH(ŘíjNe1+8)=10),ŘíjNe1+8,""),IF(AND(YEAR(ŘíjNe1+15)=KalendářníRok,MONTH(ŘíjNe1+15)=10),ŘíjNe1+15,""))</f>
        <v>43388</v>
      </c>
      <c r="C9" s="17">
        <f>IF(DAY(ŘíjNe1)=1,IF(AND(YEAR(ŘíjNe1+9)=KalendářníRok,MONTH(ŘíjNe1+9)=10),ŘíjNe1+9,""),IF(AND(YEAR(ŘíjNe1+16)=KalendářníRok,MONTH(ŘíjNe1+16)=10),ŘíjNe1+16,""))</f>
        <v>43389</v>
      </c>
      <c r="D9" s="17">
        <f>IF(DAY(ŘíjNe1)=1,IF(AND(YEAR(ŘíjNe1+10)=KalendářníRok,MONTH(ŘíjNe1+10)=10),ŘíjNe1+10,""),IF(AND(YEAR(ŘíjNe1+17)=KalendářníRok,MONTH(ŘíjNe1+17)=10),ŘíjNe1+17,""))</f>
        <v>43390</v>
      </c>
      <c r="E9" s="17">
        <f>IF(DAY(ŘíjNe1)=1,IF(AND(YEAR(ŘíjNe1+11)=KalendářníRok,MONTH(ŘíjNe1+11)=10),ŘíjNe1+11,""),IF(AND(YEAR(ŘíjNe1+18)=KalendářníRok,MONTH(ŘíjNe1+18)=10),ŘíjNe1+18,""))</f>
        <v>43391</v>
      </c>
      <c r="F9" s="17">
        <f>IF(DAY(ŘíjNe1)=1,IF(AND(YEAR(ŘíjNe1+12)=KalendářníRok,MONTH(ŘíjNe1+12)=10),ŘíjNe1+12,""),IF(AND(YEAR(ŘíjNe1+19)=KalendářníRok,MONTH(ŘíjNe1+19)=10),ŘíjNe1+19,""))</f>
        <v>43392</v>
      </c>
      <c r="G9" s="17">
        <f>IF(DAY(ŘíjNe1)=1,IF(AND(YEAR(ŘíjNe1+13)=KalendářníRok,MONTH(ŘíjNe1+13)=10),ŘíjNe1+13,""),IF(AND(YEAR(ŘíjNe1+20)=KalendářníRok,MONTH(ŘíjNe1+20)=10),ŘíjNe1+20,""))</f>
        <v>43393</v>
      </c>
      <c r="H9" s="17">
        <f>IF(DAY(ŘíjNe1)=1,IF(AND(YEAR(ŘíjNe1+14)=KalendářníRok,MONTH(ŘíjNe1+14)=10),ŘíjNe1+14,""),IF(AND(YEAR(ŘíjNe1+21)=KalendářníRok,MONTH(ŘíjNe1+21)=10),ŘíjNe1+21,""))</f>
        <v>43394</v>
      </c>
      <c r="I9" s="3"/>
    </row>
    <row r="10" spans="1:18" ht="64.5" customHeight="1" x14ac:dyDescent="0.25">
      <c r="A10"/>
      <c r="B10" s="8"/>
      <c r="C10" s="8" t="s">
        <v>48</v>
      </c>
      <c r="D10" s="8"/>
      <c r="E10" s="8" t="s">
        <v>49</v>
      </c>
      <c r="F10" s="8"/>
      <c r="G10" s="9"/>
      <c r="H10" s="9"/>
      <c r="I10" s="3"/>
    </row>
    <row r="11" spans="1:18" ht="15" customHeight="1" x14ac:dyDescent="0.25">
      <c r="A11"/>
      <c r="B11" s="18">
        <f>IF(DAY(ŘíjNe1)=1,IF(AND(YEAR(ŘíjNe1+15)=KalendářníRok,MONTH(ŘíjNe1+15)=10),ŘíjNe1+15,""),IF(AND(YEAR(ŘíjNe1+22)=KalendářníRok,MONTH(ŘíjNe1+22)=10),ŘíjNe1+22,""))</f>
        <v>43395</v>
      </c>
      <c r="C11" s="18">
        <f>IF(DAY(ŘíjNe1)=1,IF(AND(YEAR(ŘíjNe1+16)=KalendářníRok,MONTH(ŘíjNe1+16)=10),ŘíjNe1+16,""),IF(AND(YEAR(ŘíjNe1+23)=KalendářníRok,MONTH(ŘíjNe1+23)=10),ŘíjNe1+23,""))</f>
        <v>43396</v>
      </c>
      <c r="D11" s="18">
        <f>IF(DAY(ŘíjNe1)=1,IF(AND(YEAR(ŘíjNe1+17)=KalendářníRok,MONTH(ŘíjNe1+17)=10),ŘíjNe1+17,""),IF(AND(YEAR(ŘíjNe1+24)=KalendářníRok,MONTH(ŘíjNe1+24)=10),ŘíjNe1+24,""))</f>
        <v>43397</v>
      </c>
      <c r="E11" s="18">
        <f>IF(DAY(ŘíjNe1)=1,IF(AND(YEAR(ŘíjNe1+18)=KalendářníRok,MONTH(ŘíjNe1+18)=10),ŘíjNe1+18,""),IF(AND(YEAR(ŘíjNe1+25)=KalendářníRok,MONTH(ŘíjNe1+25)=10),ŘíjNe1+25,""))</f>
        <v>43398</v>
      </c>
      <c r="F11" s="18">
        <f>IF(DAY(ŘíjNe1)=1,IF(AND(YEAR(ŘíjNe1+19)=KalendářníRok,MONTH(ŘíjNe1+19)=10),ŘíjNe1+19,""),IF(AND(YEAR(ŘíjNe1+26)=KalendářníRok,MONTH(ŘíjNe1+26)=10),ŘíjNe1+26,""))</f>
        <v>43399</v>
      </c>
      <c r="G11" s="18">
        <f>IF(DAY(ŘíjNe1)=1,IF(AND(YEAR(ŘíjNe1+20)=KalendářníRok,MONTH(ŘíjNe1+20)=10),ŘíjNe1+20,""),IF(AND(YEAR(ŘíjNe1+27)=KalendářníRok,MONTH(ŘíjNe1+27)=10),ŘíjNe1+27,""))</f>
        <v>43400</v>
      </c>
      <c r="H11" s="18">
        <f>IF(DAY(ŘíjNe1)=1,IF(AND(YEAR(ŘíjNe1+21)=KalendářníRok,MONTH(ŘíjNe1+21)=10),ŘíjNe1+21,""),IF(AND(YEAR(ŘíjNe1+28)=KalendářníRok,MONTH(ŘíjNe1+28)=10),ŘíjNe1+28,""))</f>
        <v>43401</v>
      </c>
      <c r="I11" s="3"/>
    </row>
    <row r="12" spans="1:18" ht="64.5" customHeight="1" x14ac:dyDescent="0.25">
      <c r="A12"/>
      <c r="B12" s="10"/>
      <c r="C12" s="10" t="s">
        <v>52</v>
      </c>
      <c r="D12" s="10"/>
      <c r="E12" s="10" t="s">
        <v>56</v>
      </c>
      <c r="F12" s="10"/>
      <c r="G12" s="11"/>
      <c r="H12" s="11"/>
      <c r="I12" s="3"/>
    </row>
    <row r="13" spans="1:18" ht="15" customHeight="1" x14ac:dyDescent="0.25">
      <c r="A13"/>
      <c r="B13" s="17">
        <f>IF(DAY(ŘíjNe1)=1,IF(AND(YEAR(ŘíjNe1+22)=KalendářníRok,MONTH(ŘíjNe1+22)=10),ŘíjNe1+22,""),IF(AND(YEAR(ŘíjNe1+29)=KalendářníRok,MONTH(ŘíjNe1+29)=10),ŘíjNe1+29,""))</f>
        <v>43402</v>
      </c>
      <c r="C13" s="17">
        <f>IF(DAY(ŘíjNe1)=1,IF(AND(YEAR(ŘíjNe1+23)=KalendářníRok,MONTH(ŘíjNe1+23)=10),ŘíjNe1+23,""),IF(AND(YEAR(ŘíjNe1+30)=KalendářníRok,MONTH(ŘíjNe1+30)=10),ŘíjNe1+30,""))</f>
        <v>43403</v>
      </c>
      <c r="D13" s="17">
        <f>IF(DAY(ŘíjNe1)=1,IF(AND(YEAR(ŘíjNe1+24)=KalendářníRok,MONTH(ŘíjNe1+24)=10),ŘíjNe1+24,""),IF(AND(YEAR(ŘíjNe1+31)=KalendářníRok,MONTH(ŘíjNe1+31)=10),ŘíjNe1+31,""))</f>
        <v>43404</v>
      </c>
      <c r="E13" s="17" t="str">
        <f>IF(DAY(ŘíjNe1)=1,IF(AND(YEAR(ŘíjNe1+25)=KalendářníRok,MONTH(ŘíjNe1+25)=10),ŘíjNe1+25,""),IF(AND(YEAR(ŘíjNe1+32)=KalendářníRok,MONTH(ŘíjNe1+32)=10),ŘíjNe1+32,""))</f>
        <v/>
      </c>
      <c r="F13" s="17" t="str">
        <f>IF(DAY(ŘíjNe1)=1,IF(AND(YEAR(ŘíjNe1+26)=KalendářníRok,MONTH(ŘíjNe1+26)=10),ŘíjNe1+26,""),IF(AND(YEAR(ŘíjNe1+33)=KalendářníRok,MONTH(ŘíjNe1+33)=10),ŘíjNe1+33,""))</f>
        <v/>
      </c>
      <c r="G13" s="17" t="str">
        <f>IF(DAY(ŘíjNe1)=1,IF(AND(YEAR(ŘíjNe1+27)=KalendářníRok,MONTH(ŘíjNe1+27)=10),ŘíjNe1+27,""),IF(AND(YEAR(ŘíjNe1+34)=KalendářníRok,MONTH(ŘíjNe1+34)=10),ŘíjNe1+34,""))</f>
        <v/>
      </c>
      <c r="H13" s="17" t="str">
        <f>IF(DAY(ŘíjNe1)=1,IF(AND(YEAR(ŘíjNe1+28)=KalendářníRok,MONTH(ŘíjNe1+28)=10),ŘíjNe1+28,""),IF(AND(YEAR(ŘíjNe1+35)=KalendářníRok,MONTH(ŘíjNe1+35)=10),ŘíjNe1+35,""))</f>
        <v/>
      </c>
      <c r="I13" s="3"/>
    </row>
    <row r="14" spans="1:18" ht="64.5" customHeight="1" x14ac:dyDescent="0.25">
      <c r="A14"/>
      <c r="B14" s="8" t="s">
        <v>50</v>
      </c>
      <c r="C14" s="8" t="s">
        <v>51</v>
      </c>
      <c r="D14" s="8" t="s">
        <v>54</v>
      </c>
      <c r="E14" s="8"/>
      <c r="F14" s="8"/>
      <c r="G14" s="9" t="s">
        <v>53</v>
      </c>
      <c r="H14" s="9"/>
      <c r="I14" s="3"/>
    </row>
    <row r="15" spans="1:18" ht="15" customHeight="1" x14ac:dyDescent="0.25">
      <c r="A15"/>
      <c r="B15" s="18" t="str">
        <f>IF(DAY(ŘíjNe1)=1,IF(AND(YEAR(ŘíjNe1+29)=KalendářníRok,MONTH(ŘíjNe1+29)=10),ŘíjNe1+29,""),IF(AND(YEAR(ŘíjNe1+36)=KalendářníRok,MONTH(ŘíjNe1+36)=10),ŘíjNe1+36,""))</f>
        <v/>
      </c>
      <c r="C15" s="19" t="str">
        <f>IF(DAY(ŘíjNe1)=1,IF(AND(YEAR(ŘíjNe1+30)=KalendářníRok,MONTH(ŘíjNe1+30)=10),ŘíjNe1+30,""),IF(AND(YEAR(ŘíjNe1+37)=KalendářníRok,MONTH(ŘíjNe1+37)=10),ŘíjNe1+37,""))</f>
        <v/>
      </c>
      <c r="D15" s="33" t="s">
        <v>7</v>
      </c>
      <c r="E15" s="34"/>
      <c r="F15" s="34"/>
      <c r="G15" s="34"/>
      <c r="H15" s="35"/>
      <c r="I15" s="3"/>
    </row>
    <row r="16" spans="1:18" ht="64.5" customHeight="1" x14ac:dyDescent="0.25">
      <c r="A16"/>
      <c r="B16" s="10"/>
      <c r="C16" s="10" t="s">
        <v>57</v>
      </c>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8" orientation="landscape" horizontalDpi="360" verticalDpi="360"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pageSetUpPr fitToPage="1"/>
  </sheetPr>
  <dimension ref="A1:R20"/>
  <sheetViews>
    <sheetView showGridLines="0" topLeftCell="A10" zoomScaleNormal="100" workbookViewId="0">
      <selection activeCell="D12" sqref="D12"/>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UPPER(TEXT(DATE(KalendářníRok,11,1),"mmmm rrrr"))</f>
        <v>LISTOPAD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IF(DAY(ListNe1)=1,"",IF(AND(YEAR(ListNe1+1)=KalendářníRok,MONTH(ListNe1+1)=11),ListNe1+1,""))</f>
        <v/>
      </c>
      <c r="C5" s="15" t="str">
        <f>IF(DAY(ListNe1)=1,"",IF(AND(YEAR(ListNe1+2)=KalendářníRok,MONTH(ListNe1+2)=11),ListNe1+2,""))</f>
        <v/>
      </c>
      <c r="D5" s="15" t="str">
        <f>IF(DAY(ListNe1)=1,"",IF(AND(YEAR(ListNe1+3)=KalendářníRok,MONTH(ListNe1+3)=11),ListNe1+3,""))</f>
        <v/>
      </c>
      <c r="E5" s="15">
        <f>IF(DAY(ListNe1)=1,"",IF(AND(YEAR(ListNe1+4)=KalendářníRok,MONTH(ListNe1+4)=11),ListNe1+4,""))</f>
        <v>43405</v>
      </c>
      <c r="F5" s="15">
        <f>IF(DAY(ListNe1)=1,"",IF(AND(YEAR(ListNe1+5)=KalendářníRok,MONTH(ListNe1+5)=11),ListNe1+5,""))</f>
        <v>43406</v>
      </c>
      <c r="G5" s="15">
        <f>IF(DAY(ListNe1)=1,"",IF(AND(YEAR(ListNe1+6)=KalendářníRok,MONTH(ListNe1+6)=11),ListNe1+6,""))</f>
        <v>43407</v>
      </c>
      <c r="H5" s="15">
        <f>IF(DAY(ListNe1)=1,IF(AND(YEAR(ListNe1)=KalendářníRok,MONTH(ListNe1)=11),ListNe1,""),IF(AND(YEAR(ListNe1+7)=KalendářníRok,MONTH(ListNe1+7)=11),ListNe1+7,""))</f>
        <v>43408</v>
      </c>
      <c r="I5" s="3"/>
      <c r="K5" s="1"/>
      <c r="L5" s="1"/>
      <c r="M5" s="1"/>
      <c r="Q5" s="2"/>
      <c r="R5" s="1"/>
    </row>
    <row r="6" spans="1:18" s="2" customFormat="1" ht="64.5" customHeight="1" x14ac:dyDescent="0.25">
      <c r="A6"/>
      <c r="B6" s="8"/>
      <c r="C6" s="8"/>
      <c r="D6" s="8" t="s">
        <v>58</v>
      </c>
      <c r="E6" s="8" t="s">
        <v>59</v>
      </c>
      <c r="F6" s="8"/>
      <c r="G6" s="9" t="s">
        <v>60</v>
      </c>
      <c r="H6" s="9"/>
      <c r="I6" s="3"/>
    </row>
    <row r="7" spans="1:18" ht="15" customHeight="1" x14ac:dyDescent="0.25">
      <c r="A7"/>
      <c r="B7" s="16">
        <f>IF(DAY(ListNe1)=1,IF(AND(YEAR(ListNe1+1)=KalendářníRok,MONTH(ListNe1+1)=11),ListNe1+1,""),IF(AND(YEAR(ListNe1+8)=KalendářníRok,MONTH(ListNe1+8)=11),ListNe1+8,""))</f>
        <v>43409</v>
      </c>
      <c r="C7" s="16">
        <f>IF(DAY(ListNe1)=1,IF(AND(YEAR(ListNe1+2)=KalendářníRok,MONTH(ListNe1+2)=11),ListNe1+2,""),IF(AND(YEAR(ListNe1+9)=KalendářníRok,MONTH(ListNe1+9)=11),ListNe1+9,""))</f>
        <v>43410</v>
      </c>
      <c r="D7" s="16">
        <f>IF(DAY(ListNe1)=1,IF(AND(YEAR(ListNe1+3)=KalendářníRok,MONTH(ListNe1+3)=11),ListNe1+3,""),IF(AND(YEAR(ListNe1+10)=KalendářníRok,MONTH(ListNe1+10)=11),ListNe1+10,""))</f>
        <v>43411</v>
      </c>
      <c r="E7" s="16">
        <f>IF(DAY(ListNe1)=1,IF(AND(YEAR(ListNe1+4)=KalendářníRok,MONTH(ListNe1+4)=11),ListNe1+4,""),IF(AND(YEAR(ListNe1+11)=KalendářníRok,MONTH(ListNe1+11)=11),ListNe1+11,""))</f>
        <v>43412</v>
      </c>
      <c r="F7" s="16">
        <f>IF(DAY(ListNe1)=1,IF(AND(YEAR(ListNe1+5)=KalendářníRok,MONTH(ListNe1+5)=11),ListNe1+5,""),IF(AND(YEAR(ListNe1+12)=KalendářníRok,MONTH(ListNe1+12)=11),ListNe1+12,""))</f>
        <v>43413</v>
      </c>
      <c r="G7" s="16">
        <f>IF(DAY(ListNe1)=1,IF(AND(YEAR(ListNe1+6)=KalendářníRok,MONTH(ListNe1+6)=11),ListNe1+6,""),IF(AND(YEAR(ListNe1+13)=KalendářníRok,MONTH(ListNe1+13)=11),ListNe1+13,""))</f>
        <v>43414</v>
      </c>
      <c r="H7" s="16">
        <f>IF(DAY(ListNe1)=1,IF(AND(YEAR(ListNe1+7)=KalendářníRok,MONTH(ListNe1+7)=11),ListNe1+7,""),IF(AND(YEAR(ListNe1+14)=KalendářníRok,MONTH(ListNe1+14)=11),ListNe1+14,""))</f>
        <v>43415</v>
      </c>
      <c r="I7" s="3"/>
    </row>
    <row r="8" spans="1:18" ht="64.5" customHeight="1" x14ac:dyDescent="0.25">
      <c r="A8"/>
      <c r="B8" s="10"/>
      <c r="C8" s="10"/>
      <c r="D8" s="10" t="s">
        <v>63</v>
      </c>
      <c r="E8" s="10" t="s">
        <v>70</v>
      </c>
      <c r="F8" s="10"/>
      <c r="G8" s="11"/>
      <c r="H8" s="11"/>
      <c r="I8" s="3"/>
    </row>
    <row r="9" spans="1:18" ht="15" customHeight="1" x14ac:dyDescent="0.25">
      <c r="A9"/>
      <c r="B9" s="17">
        <f>IF(DAY(ListNe1)=1,IF(AND(YEAR(ListNe1+8)=KalendářníRok,MONTH(ListNe1+8)=11),ListNe1+8,""),IF(AND(YEAR(ListNe1+15)=KalendářníRok,MONTH(ListNe1+15)=11),ListNe1+15,""))</f>
        <v>43416</v>
      </c>
      <c r="C9" s="17">
        <f>IF(DAY(ListNe1)=1,IF(AND(YEAR(ListNe1+9)=KalendářníRok,MONTH(ListNe1+9)=11),ListNe1+9,""),IF(AND(YEAR(ListNe1+16)=KalendářníRok,MONTH(ListNe1+16)=11),ListNe1+16,""))</f>
        <v>43417</v>
      </c>
      <c r="D9" s="17">
        <f>IF(DAY(ListNe1)=1,IF(AND(YEAR(ListNe1+10)=KalendářníRok,MONTH(ListNe1+10)=11),ListNe1+10,""),IF(AND(YEAR(ListNe1+17)=KalendářníRok,MONTH(ListNe1+17)=11),ListNe1+17,""))</f>
        <v>43418</v>
      </c>
      <c r="E9" s="17">
        <f>IF(DAY(ListNe1)=1,IF(AND(YEAR(ListNe1+11)=KalendářníRok,MONTH(ListNe1+11)=11),ListNe1+11,""),IF(AND(YEAR(ListNe1+18)=KalendářníRok,MONTH(ListNe1+18)=11),ListNe1+18,""))</f>
        <v>43419</v>
      </c>
      <c r="F9" s="17">
        <f>IF(DAY(ListNe1)=1,IF(AND(YEAR(ListNe1+12)=KalendářníRok,MONTH(ListNe1+12)=11),ListNe1+12,""),IF(AND(YEAR(ListNe1+19)=KalendářníRok,MONTH(ListNe1+19)=11),ListNe1+19,""))</f>
        <v>43420</v>
      </c>
      <c r="G9" s="17">
        <f>IF(DAY(ListNe1)=1,IF(AND(YEAR(ListNe1+13)=KalendářníRok,MONTH(ListNe1+13)=11),ListNe1+13,""),IF(AND(YEAR(ListNe1+20)=KalendářníRok,MONTH(ListNe1+20)=11),ListNe1+20,""))</f>
        <v>43421</v>
      </c>
      <c r="H9" s="17">
        <f>IF(DAY(ListNe1)=1,IF(AND(YEAR(ListNe1+14)=KalendářníRok,MONTH(ListNe1+14)=11),ListNe1+14,""),IF(AND(YEAR(ListNe1+21)=KalendářníRok,MONTH(ListNe1+21)=11),ListNe1+21,""))</f>
        <v>43422</v>
      </c>
      <c r="I9" s="3"/>
    </row>
    <row r="10" spans="1:18" ht="64.5" customHeight="1" x14ac:dyDescent="0.25">
      <c r="A10"/>
      <c r="B10" s="8"/>
      <c r="C10" s="8" t="s">
        <v>66</v>
      </c>
      <c r="D10" s="8"/>
      <c r="E10" s="8" t="s">
        <v>65</v>
      </c>
      <c r="F10" s="8" t="s">
        <v>68</v>
      </c>
      <c r="G10" s="9"/>
      <c r="H10" s="9"/>
      <c r="I10" s="3"/>
    </row>
    <row r="11" spans="1:18" ht="15" customHeight="1" x14ac:dyDescent="0.25">
      <c r="A11"/>
      <c r="B11" s="18">
        <f>IF(DAY(ListNe1)=1,IF(AND(YEAR(ListNe1+15)=KalendářníRok,MONTH(ListNe1+15)=11),ListNe1+15,""),IF(AND(YEAR(ListNe1+22)=KalendářníRok,MONTH(ListNe1+22)=11),ListNe1+22,""))</f>
        <v>43423</v>
      </c>
      <c r="C11" s="18">
        <f>IF(DAY(ListNe1)=1,IF(AND(YEAR(ListNe1+16)=KalendářníRok,MONTH(ListNe1+16)=11),ListNe1+16,""),IF(AND(YEAR(ListNe1+23)=KalendářníRok,MONTH(ListNe1+23)=11),ListNe1+23,""))</f>
        <v>43424</v>
      </c>
      <c r="D11" s="18">
        <f>IF(DAY(ListNe1)=1,IF(AND(YEAR(ListNe1+17)=KalendářníRok,MONTH(ListNe1+17)=11),ListNe1+17,""),IF(AND(YEAR(ListNe1+24)=KalendářníRok,MONTH(ListNe1+24)=11),ListNe1+24,""))</f>
        <v>43425</v>
      </c>
      <c r="E11" s="18">
        <f>IF(DAY(ListNe1)=1,IF(AND(YEAR(ListNe1+18)=KalendářníRok,MONTH(ListNe1+18)=11),ListNe1+18,""),IF(AND(YEAR(ListNe1+25)=KalendářníRok,MONTH(ListNe1+25)=11),ListNe1+25,""))</f>
        <v>43426</v>
      </c>
      <c r="F11" s="18">
        <f>IF(DAY(ListNe1)=1,IF(AND(YEAR(ListNe1+19)=KalendářníRok,MONTH(ListNe1+19)=11),ListNe1+19,""),IF(AND(YEAR(ListNe1+26)=KalendářníRok,MONTH(ListNe1+26)=11),ListNe1+26,""))</f>
        <v>43427</v>
      </c>
      <c r="G11" s="18">
        <f>IF(DAY(ListNe1)=1,IF(AND(YEAR(ListNe1+20)=KalendářníRok,MONTH(ListNe1+20)=11),ListNe1+20,""),IF(AND(YEAR(ListNe1+27)=KalendářníRok,MONTH(ListNe1+27)=11),ListNe1+27,""))</f>
        <v>43428</v>
      </c>
      <c r="H11" s="18">
        <f>IF(DAY(ListNe1)=1,IF(AND(YEAR(ListNe1+21)=KalendářníRok,MONTH(ListNe1+21)=11),ListNe1+21,""),IF(AND(YEAR(ListNe1+28)=KalendářníRok,MONTH(ListNe1+28)=11),ListNe1+28,""))</f>
        <v>43429</v>
      </c>
      <c r="I11" s="3"/>
    </row>
    <row r="12" spans="1:18" ht="64.5" customHeight="1" x14ac:dyDescent="0.25">
      <c r="A12"/>
      <c r="B12" s="10"/>
      <c r="C12" s="10"/>
      <c r="D12" s="10" t="s">
        <v>71</v>
      </c>
      <c r="E12" s="10" t="s">
        <v>69</v>
      </c>
      <c r="F12" s="10"/>
      <c r="G12" s="11" t="s">
        <v>61</v>
      </c>
      <c r="H12" s="11" t="s">
        <v>62</v>
      </c>
      <c r="I12" s="3"/>
    </row>
    <row r="13" spans="1:18" ht="15" customHeight="1" x14ac:dyDescent="0.25">
      <c r="A13"/>
      <c r="B13" s="17">
        <f>IF(DAY(ListNe1)=1,IF(AND(YEAR(ListNe1+22)=KalendářníRok,MONTH(ListNe1+22)=11),ListNe1+22,""),IF(AND(YEAR(ListNe1+29)=KalendářníRok,MONTH(ListNe1+29)=11),ListNe1+29,""))</f>
        <v>43430</v>
      </c>
      <c r="C13" s="17">
        <f>IF(DAY(ListNe1)=1,IF(AND(YEAR(ListNe1+23)=KalendářníRok,MONTH(ListNe1+23)=11),ListNe1+23,""),IF(AND(YEAR(ListNe1+30)=KalendářníRok,MONTH(ListNe1+30)=11),ListNe1+30,""))</f>
        <v>43431</v>
      </c>
      <c r="D13" s="17">
        <f>IF(DAY(ListNe1)=1,IF(AND(YEAR(ListNe1+24)=KalendářníRok,MONTH(ListNe1+24)=11),ListNe1+24,""),IF(AND(YEAR(ListNe1+31)=KalendářníRok,MONTH(ListNe1+31)=11),ListNe1+31,""))</f>
        <v>43432</v>
      </c>
      <c r="E13" s="17">
        <f>IF(DAY(ListNe1)=1,IF(AND(YEAR(ListNe1+25)=KalendářníRok,MONTH(ListNe1+25)=11),ListNe1+25,""),IF(AND(YEAR(ListNe1+32)=KalendářníRok,MONTH(ListNe1+32)=11),ListNe1+32,""))</f>
        <v>43433</v>
      </c>
      <c r="F13" s="17">
        <f>IF(DAY(ListNe1)=1,IF(AND(YEAR(ListNe1+26)=KalendářníRok,MONTH(ListNe1+26)=11),ListNe1+26,""),IF(AND(YEAR(ListNe1+33)=KalendářníRok,MONTH(ListNe1+33)=11),ListNe1+33,""))</f>
        <v>43434</v>
      </c>
      <c r="G13" s="17" t="str">
        <f>IF(DAY(ListNe1)=1,IF(AND(YEAR(ListNe1+27)=KalendářníRok,MONTH(ListNe1+27)=11),ListNe1+27,""),IF(AND(YEAR(ListNe1+34)=KalendářníRok,MONTH(ListNe1+34)=11),ListNe1+34,""))</f>
        <v/>
      </c>
      <c r="H13" s="17" t="str">
        <f>IF(DAY(ListNe1)=1,IF(AND(YEAR(ListNe1+28)=KalendářníRok,MONTH(ListNe1+28)=11),ListNe1+28,""),IF(AND(YEAR(ListNe1+35)=KalendářníRok,MONTH(ListNe1+35)=11),ListNe1+35,""))</f>
        <v/>
      </c>
      <c r="I13" s="3"/>
    </row>
    <row r="14" spans="1:18" ht="64.5" customHeight="1" x14ac:dyDescent="0.25">
      <c r="A14"/>
      <c r="B14" s="8"/>
      <c r="C14" s="8" t="s">
        <v>67</v>
      </c>
      <c r="D14" s="8" t="s">
        <v>64</v>
      </c>
      <c r="E14" s="8"/>
      <c r="F14" s="8"/>
      <c r="G14" s="9"/>
      <c r="H14" s="9"/>
      <c r="I14" s="3"/>
    </row>
    <row r="15" spans="1:18" ht="15" customHeight="1" x14ac:dyDescent="0.25">
      <c r="A15"/>
      <c r="B15" s="18" t="str">
        <f>IF(DAY(ListNe1)=1,IF(AND(YEAR(ListNe1+29)=KalendářníRok,MONTH(ListNe1+29)=11),ListNe1+29,""),IF(AND(YEAR(ListNe1+36)=KalendářníRok,MONTH(ListNe1+36)=11),ListNe1+36,""))</f>
        <v/>
      </c>
      <c r="C15" s="19" t="str">
        <f>IF(DAY(ListNe1)=1,IF(AND(YEAR(ListNe1+30)=KalendářníRok,MONTH(ListNe1+30)=11),ListNe1+30,""),IF(AND(YEAR(ListNe1+37)=KalendářníRok,MONTH(ListNe1+37)=11),ListNe1+37,""))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7" orientation="landscape" horizontalDpi="300" verticalDpi="300"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pageSetUpPr fitToPage="1"/>
  </sheetPr>
  <dimension ref="A1:R20"/>
  <sheetViews>
    <sheetView showGridLines="0" topLeftCell="A4" zoomScaleNormal="100" workbookViewId="0">
      <selection activeCell="B8" sqref="B8"/>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UPPER(TEXT(DATE(KalendářníRok,12,1),"mmmm rrrr"))</f>
        <v>PROSINEC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IF(DAY(ProsNe1)=1,"",IF(AND(YEAR(ProsNe1+1)=KalendářníRok,MONTH(ProsNe1+1)=12),ProsNe1+1,""))</f>
        <v/>
      </c>
      <c r="C5" s="15" t="str">
        <f>IF(DAY(ProsNe1)=1,"",IF(AND(YEAR(ProsNe1+2)=KalendářníRok,MONTH(ProsNe1+2)=12),ProsNe1+2,""))</f>
        <v/>
      </c>
      <c r="D5" s="15" t="str">
        <f>IF(DAY(ProsNe1)=1,"",IF(AND(YEAR(ProsNe1+3)=KalendářníRok,MONTH(ProsNe1+3)=12),ProsNe1+3,""))</f>
        <v/>
      </c>
      <c r="E5" s="15" t="str">
        <f>IF(DAY(ProsNe1)=1,"",IF(AND(YEAR(ProsNe1+4)=KalendářníRok,MONTH(ProsNe1+4)=12),ProsNe1+4,""))</f>
        <v/>
      </c>
      <c r="F5" s="15" t="str">
        <f>IF(DAY(ProsNe1)=1,"",IF(AND(YEAR(ProsNe1+5)=KalendářníRok,MONTH(ProsNe1+5)=12),ProsNe1+5,""))</f>
        <v/>
      </c>
      <c r="G5" s="15">
        <f>IF(DAY(ProsNe1)=1,"",IF(AND(YEAR(ProsNe1+6)=KalendářníRok,MONTH(ProsNe1+6)=12),ProsNe1+6,""))</f>
        <v>43435</v>
      </c>
      <c r="H5" s="15">
        <f>IF(DAY(ProsNe1)=1,IF(AND(YEAR(ProsNe1)=KalendářníRok,MONTH(ProsNe1)=12),ProsNe1,""),IF(AND(YEAR(ProsNe1+7)=KalendářníRok,MONTH(ProsNe1+7)=12),ProsNe1+7,""))</f>
        <v>43436</v>
      </c>
      <c r="I5" s="3"/>
      <c r="K5" s="1"/>
      <c r="L5" s="1"/>
      <c r="M5" s="1"/>
      <c r="Q5" s="2"/>
      <c r="R5" s="1"/>
    </row>
    <row r="6" spans="1:18" s="2" customFormat="1" ht="64.5" customHeight="1" x14ac:dyDescent="0.25">
      <c r="A6"/>
      <c r="B6" s="8"/>
      <c r="C6" s="8"/>
      <c r="D6" s="8"/>
      <c r="E6" s="8"/>
      <c r="F6" s="25" t="s">
        <v>81</v>
      </c>
      <c r="G6" s="9"/>
      <c r="H6" s="9" t="s">
        <v>76</v>
      </c>
      <c r="I6" s="3"/>
    </row>
    <row r="7" spans="1:18" ht="15" customHeight="1" x14ac:dyDescent="0.25">
      <c r="A7"/>
      <c r="B7" s="16">
        <f>IF(DAY(ProsNe1)=1,IF(AND(YEAR(ProsNe1+1)=KalendářníRok,MONTH(ProsNe1+1)=12),ProsNe1+1,""),IF(AND(YEAR(ProsNe1+8)=KalendářníRok,MONTH(ProsNe1+8)=12),ProsNe1+8,""))</f>
        <v>43437</v>
      </c>
      <c r="C7" s="16">
        <f>IF(DAY(ProsNe1)=1,IF(AND(YEAR(ProsNe1+2)=KalendářníRok,MONTH(ProsNe1+2)=12),ProsNe1+2,""),IF(AND(YEAR(ProsNe1+9)=KalendářníRok,MONTH(ProsNe1+9)=12),ProsNe1+9,""))</f>
        <v>43438</v>
      </c>
      <c r="D7" s="16">
        <f>IF(DAY(ProsNe1)=1,IF(AND(YEAR(ProsNe1+3)=KalendářníRok,MONTH(ProsNe1+3)=12),ProsNe1+3,""),IF(AND(YEAR(ProsNe1+10)=KalendářníRok,MONTH(ProsNe1+10)=12),ProsNe1+10,""))</f>
        <v>43439</v>
      </c>
      <c r="E7" s="16">
        <f>IF(DAY(ProsNe1)=1,IF(AND(YEAR(ProsNe1+4)=KalendářníRok,MONTH(ProsNe1+4)=12),ProsNe1+4,""),IF(AND(YEAR(ProsNe1+11)=KalendářníRok,MONTH(ProsNe1+11)=12),ProsNe1+11,""))</f>
        <v>43440</v>
      </c>
      <c r="F7" s="16">
        <f>IF(DAY(ProsNe1)=1,IF(AND(YEAR(ProsNe1+5)=KalendářníRok,MONTH(ProsNe1+5)=12),ProsNe1+5,""),IF(AND(YEAR(ProsNe1+12)=KalendářníRok,MONTH(ProsNe1+12)=12),ProsNe1+12,""))</f>
        <v>43441</v>
      </c>
      <c r="G7" s="16">
        <f>IF(DAY(ProsNe1)=1,IF(AND(YEAR(ProsNe1+6)=KalendářníRok,MONTH(ProsNe1+6)=12),ProsNe1+6,""),IF(AND(YEAR(ProsNe1+13)=KalendářníRok,MONTH(ProsNe1+13)=12),ProsNe1+13,""))</f>
        <v>43442</v>
      </c>
      <c r="H7" s="16">
        <f>IF(DAY(ProsNe1)=1,IF(AND(YEAR(ProsNe1+7)=KalendářníRok,MONTH(ProsNe1+7)=12),ProsNe1+7,""),IF(AND(YEAR(ProsNe1+14)=KalendářníRok,MONTH(ProsNe1+14)=12),ProsNe1+14,""))</f>
        <v>43443</v>
      </c>
      <c r="I7" s="3"/>
    </row>
    <row r="8" spans="1:18" ht="64.5" customHeight="1" x14ac:dyDescent="0.25">
      <c r="A8"/>
      <c r="B8" s="10"/>
      <c r="C8" s="10"/>
      <c r="D8" s="10"/>
      <c r="E8" s="24"/>
      <c r="F8" s="10"/>
      <c r="G8" s="11"/>
      <c r="H8" s="11" t="s">
        <v>77</v>
      </c>
      <c r="I8" s="3"/>
    </row>
    <row r="9" spans="1:18" ht="15" customHeight="1" x14ac:dyDescent="0.25">
      <c r="A9"/>
      <c r="B9" s="17">
        <f>IF(DAY(ProsNe1)=1,IF(AND(YEAR(ProsNe1+8)=KalendářníRok,MONTH(ProsNe1+8)=12),ProsNe1+8,""),IF(AND(YEAR(ProsNe1+15)=KalendářníRok,MONTH(ProsNe1+15)=12),ProsNe1+15,""))</f>
        <v>43444</v>
      </c>
      <c r="C9" s="17">
        <f>IF(DAY(ProsNe1)=1,IF(AND(YEAR(ProsNe1+9)=KalendářníRok,MONTH(ProsNe1+9)=12),ProsNe1+9,""),IF(AND(YEAR(ProsNe1+16)=KalendářníRok,MONTH(ProsNe1+16)=12),ProsNe1+16,""))</f>
        <v>43445</v>
      </c>
      <c r="D9" s="17">
        <f>IF(DAY(ProsNe1)=1,IF(AND(YEAR(ProsNe1+10)=KalendářníRok,MONTH(ProsNe1+10)=12),ProsNe1+10,""),IF(AND(YEAR(ProsNe1+17)=KalendářníRok,MONTH(ProsNe1+17)=12),ProsNe1+17,""))</f>
        <v>43446</v>
      </c>
      <c r="E9" s="17">
        <f>IF(DAY(ProsNe1)=1,IF(AND(YEAR(ProsNe1+11)=KalendářníRok,MONTH(ProsNe1+11)=12),ProsNe1+11,""),IF(AND(YEAR(ProsNe1+18)=KalendářníRok,MONTH(ProsNe1+18)=12),ProsNe1+18,""))</f>
        <v>43447</v>
      </c>
      <c r="F9" s="17">
        <f>IF(DAY(ProsNe1)=1,IF(AND(YEAR(ProsNe1+12)=KalendářníRok,MONTH(ProsNe1+12)=12),ProsNe1+12,""),IF(AND(YEAR(ProsNe1+19)=KalendářníRok,MONTH(ProsNe1+19)=12),ProsNe1+19,""))</f>
        <v>43448</v>
      </c>
      <c r="G9" s="17">
        <f>IF(DAY(ProsNe1)=1,IF(AND(YEAR(ProsNe1+13)=KalendářníRok,MONTH(ProsNe1+13)=12),ProsNe1+13,""),IF(AND(YEAR(ProsNe1+20)=KalendářníRok,MONTH(ProsNe1+20)=12),ProsNe1+20,""))</f>
        <v>43449</v>
      </c>
      <c r="H9" s="17">
        <f>IF(DAY(ProsNe1)=1,IF(AND(YEAR(ProsNe1+14)=KalendářníRok,MONTH(ProsNe1+14)=12),ProsNe1+14,""),IF(AND(YEAR(ProsNe1+21)=KalendářníRok,MONTH(ProsNe1+21)=12),ProsNe1+21,""))</f>
        <v>43450</v>
      </c>
      <c r="I9" s="3"/>
    </row>
    <row r="10" spans="1:18" ht="64.5" customHeight="1" x14ac:dyDescent="0.25">
      <c r="A10"/>
      <c r="B10" s="25" t="s">
        <v>84</v>
      </c>
      <c r="C10" s="8"/>
      <c r="D10" s="25" t="s">
        <v>75</v>
      </c>
      <c r="E10" s="25" t="s">
        <v>74</v>
      </c>
      <c r="F10" s="25" t="s">
        <v>82</v>
      </c>
      <c r="G10" s="9"/>
      <c r="H10" s="9" t="s">
        <v>78</v>
      </c>
      <c r="I10" s="3"/>
    </row>
    <row r="11" spans="1:18" ht="15" customHeight="1" x14ac:dyDescent="0.25">
      <c r="A11"/>
      <c r="B11" s="18">
        <f>IF(DAY(ProsNe1)=1,IF(AND(YEAR(ProsNe1+15)=KalendářníRok,MONTH(ProsNe1+15)=12),ProsNe1+15,""),IF(AND(YEAR(ProsNe1+22)=KalendářníRok,MONTH(ProsNe1+22)=12),ProsNe1+22,""))</f>
        <v>43451</v>
      </c>
      <c r="C11" s="18">
        <f>IF(DAY(ProsNe1)=1,IF(AND(YEAR(ProsNe1+16)=KalendářníRok,MONTH(ProsNe1+16)=12),ProsNe1+16,""),IF(AND(YEAR(ProsNe1+23)=KalendářníRok,MONTH(ProsNe1+23)=12),ProsNe1+23,""))</f>
        <v>43452</v>
      </c>
      <c r="D11" s="18">
        <f>IF(DAY(ProsNe1)=1,IF(AND(YEAR(ProsNe1+17)=KalendářníRok,MONTH(ProsNe1+17)=12),ProsNe1+17,""),IF(AND(YEAR(ProsNe1+24)=KalendářníRok,MONTH(ProsNe1+24)=12),ProsNe1+24,""))</f>
        <v>43453</v>
      </c>
      <c r="E11" s="18">
        <f>IF(DAY(ProsNe1)=1,IF(AND(YEAR(ProsNe1+18)=KalendářníRok,MONTH(ProsNe1+18)=12),ProsNe1+18,""),IF(AND(YEAR(ProsNe1+25)=KalendářníRok,MONTH(ProsNe1+25)=12),ProsNe1+25,""))</f>
        <v>43454</v>
      </c>
      <c r="F11" s="18">
        <f>IF(DAY(ProsNe1)=1,IF(AND(YEAR(ProsNe1+19)=KalendářníRok,MONTH(ProsNe1+19)=12),ProsNe1+19,""),IF(AND(YEAR(ProsNe1+26)=KalendářníRok,MONTH(ProsNe1+26)=12),ProsNe1+26,""))</f>
        <v>43455</v>
      </c>
      <c r="G11" s="18">
        <f>IF(DAY(ProsNe1)=1,IF(AND(YEAR(ProsNe1+20)=KalendářníRok,MONTH(ProsNe1+20)=12),ProsNe1+20,""),IF(AND(YEAR(ProsNe1+27)=KalendářníRok,MONTH(ProsNe1+27)=12),ProsNe1+27,""))</f>
        <v>43456</v>
      </c>
      <c r="H11" s="18">
        <f>IF(DAY(ProsNe1)=1,IF(AND(YEAR(ProsNe1+21)=KalendářníRok,MONTH(ProsNe1+21)=12),ProsNe1+21,""),IF(AND(YEAR(ProsNe1+28)=KalendářníRok,MONTH(ProsNe1+28)=12),ProsNe1+28,""))</f>
        <v>43457</v>
      </c>
      <c r="I11" s="3"/>
    </row>
    <row r="12" spans="1:18" ht="64.5" customHeight="1" x14ac:dyDescent="0.25">
      <c r="A12"/>
      <c r="B12" s="24" t="s">
        <v>72</v>
      </c>
      <c r="C12" s="24" t="s">
        <v>85</v>
      </c>
      <c r="D12" s="10"/>
      <c r="E12" s="24" t="s">
        <v>80</v>
      </c>
      <c r="F12" s="10"/>
      <c r="G12" s="11"/>
      <c r="H12" s="11" t="s">
        <v>79</v>
      </c>
      <c r="I12" s="3"/>
    </row>
    <row r="13" spans="1:18" ht="15" customHeight="1" x14ac:dyDescent="0.25">
      <c r="A13"/>
      <c r="B13" s="17">
        <f>IF(DAY(ProsNe1)=1,IF(AND(YEAR(ProsNe1+22)=KalendářníRok,MONTH(ProsNe1+22)=12),ProsNe1+22,""),IF(AND(YEAR(ProsNe1+29)=KalendářníRok,MONTH(ProsNe1+29)=12),ProsNe1+29,""))</f>
        <v>43458</v>
      </c>
      <c r="C13" s="17">
        <f>IF(DAY(ProsNe1)=1,IF(AND(YEAR(ProsNe1+23)=KalendářníRok,MONTH(ProsNe1+23)=12),ProsNe1+23,""),IF(AND(YEAR(ProsNe1+30)=KalendářníRok,MONTH(ProsNe1+30)=12),ProsNe1+30,""))</f>
        <v>43459</v>
      </c>
      <c r="D13" s="17">
        <f>IF(DAY(ProsNe1)=1,IF(AND(YEAR(ProsNe1+24)=KalendářníRok,MONTH(ProsNe1+24)=12),ProsNe1+24,""),IF(AND(YEAR(ProsNe1+31)=KalendářníRok,MONTH(ProsNe1+31)=12),ProsNe1+31,""))</f>
        <v>43460</v>
      </c>
      <c r="E13" s="17">
        <f>IF(DAY(ProsNe1)=1,IF(AND(YEAR(ProsNe1+25)=KalendářníRok,MONTH(ProsNe1+25)=12),ProsNe1+25,""),IF(AND(YEAR(ProsNe1+32)=KalendářníRok,MONTH(ProsNe1+32)=12),ProsNe1+32,""))</f>
        <v>43461</v>
      </c>
      <c r="F13" s="17">
        <f>IF(DAY(ProsNe1)=1,IF(AND(YEAR(ProsNe1+26)=KalendářníRok,MONTH(ProsNe1+26)=12),ProsNe1+26,""),IF(AND(YEAR(ProsNe1+33)=KalendářníRok,MONTH(ProsNe1+33)=12),ProsNe1+33,""))</f>
        <v>43462</v>
      </c>
      <c r="G13" s="17">
        <f>IF(DAY(ProsNe1)=1,IF(AND(YEAR(ProsNe1+27)=KalendářníRok,MONTH(ProsNe1+27)=12),ProsNe1+27,""),IF(AND(YEAR(ProsNe1+34)=KalendářníRok,MONTH(ProsNe1+34)=12),ProsNe1+34,""))</f>
        <v>43463</v>
      </c>
      <c r="H13" s="17">
        <f>IF(DAY(ProsNe1)=1,IF(AND(YEAR(ProsNe1+28)=KalendářníRok,MONTH(ProsNe1+28)=12),ProsNe1+28,""),IF(AND(YEAR(ProsNe1+35)=KalendářníRok,MONTH(ProsNe1+35)=12),ProsNe1+35,""))</f>
        <v>43464</v>
      </c>
      <c r="I13" s="3"/>
    </row>
    <row r="14" spans="1:18" ht="64.5" customHeight="1" x14ac:dyDescent="0.25">
      <c r="A14"/>
      <c r="B14" s="25" t="s">
        <v>73</v>
      </c>
      <c r="C14" s="25" t="s">
        <v>73</v>
      </c>
      <c r="D14" s="25" t="s">
        <v>73</v>
      </c>
      <c r="E14" s="25" t="s">
        <v>73</v>
      </c>
      <c r="F14" s="25" t="s">
        <v>73</v>
      </c>
      <c r="G14" s="26" t="s">
        <v>73</v>
      </c>
      <c r="H14" s="26" t="s">
        <v>73</v>
      </c>
      <c r="I14" s="3"/>
    </row>
    <row r="15" spans="1:18" ht="15" customHeight="1" x14ac:dyDescent="0.25">
      <c r="A15"/>
      <c r="B15" s="18">
        <f>IF(DAY(ProsNe1)=1,IF(AND(YEAR(ProsNe1+29)=KalendářníRok,MONTH(ProsNe1+29)=12),ProsNe1+29,""),IF(AND(YEAR(ProsNe1+36)=KalendářníRok,MONTH(ProsNe1+36)=12),ProsNe1+36,""))</f>
        <v>43465</v>
      </c>
      <c r="C15" s="19" t="str">
        <f>IF(DAY(ProsNe1)=1,IF(AND(YEAR(ProsNe1+30)=KalendářníRok,MONTH(ProsNe1+30)=12),ProsNe1+30,""),IF(AND(YEAR(ProsNe1+37)=KalendářníRok,MONTH(ProsNe1+37)=12),ProsNe1+37,""))</f>
        <v/>
      </c>
      <c r="D15" s="33" t="s">
        <v>7</v>
      </c>
      <c r="E15" s="34"/>
      <c r="F15" s="34"/>
      <c r="G15" s="34"/>
      <c r="H15" s="35"/>
      <c r="I15" s="3"/>
    </row>
    <row r="16" spans="1:18" ht="64.5" customHeight="1" x14ac:dyDescent="0.25">
      <c r="A16"/>
      <c r="B16" s="10"/>
      <c r="C16" s="10"/>
      <c r="D16" s="37" t="s">
        <v>83</v>
      </c>
      <c r="E16" s="31"/>
      <c r="F16" s="31"/>
      <c r="G16" s="31"/>
      <c r="H16" s="32"/>
      <c r="I16" s="3"/>
    </row>
    <row r="17" spans="3:5" ht="2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7" orientation="landscape" horizontalDpi="300" verticalDpi="300"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pageSetUpPr fitToPage="1"/>
  </sheetPr>
  <dimension ref="A1:R20"/>
  <sheetViews>
    <sheetView showGridLines="0" zoomScaleNormal="100" workbookViewId="0">
      <selection activeCell="L14" sqref="L14"/>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UPPER(TEXT(DATE(KalendářníRok,2,1),"mmmm rrrr"))</f>
        <v>ÚNOR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IF(DAY(ÚnorNe1)=1,"",IF(AND(YEAR(ÚnorNe1+1)=KalendářníRok,MONTH(ÚnorNe1+1)=2),ÚnorNe1+1,""))</f>
        <v/>
      </c>
      <c r="C5" s="15" t="str">
        <f>IF(DAY(ÚnorNe1)=1,"",IF(AND(YEAR(ÚnorNe1+2)=KalendářníRok,MONTH(ÚnorNe1+2)=2),ÚnorNe1+2,""))</f>
        <v/>
      </c>
      <c r="D5" s="15" t="str">
        <f>IF(DAY(ÚnorNe1)=1,"",IF(AND(YEAR(ÚnorNe1+3)=KalendářníRok,MONTH(ÚnorNe1+3)=2),ÚnorNe1+3,""))</f>
        <v/>
      </c>
      <c r="E5" s="15">
        <f>IF(DAY(ÚnorNe1)=1,"",IF(AND(YEAR(ÚnorNe1+4)=KalendářníRok,MONTH(ÚnorNe1+4)=2),ÚnorNe1+4,""))</f>
        <v>43132</v>
      </c>
      <c r="F5" s="15">
        <f>IF(DAY(ÚnorNe1)=1,"",IF(AND(YEAR(ÚnorNe1+5)=KalendářníRok,MONTH(ÚnorNe1+5)=2),ÚnorNe1+5,""))</f>
        <v>43133</v>
      </c>
      <c r="G5" s="15">
        <f>IF(DAY(ÚnorNe1)=1,"",IF(AND(YEAR(ÚnorNe1+6)=KalendářníRok,MONTH(ÚnorNe1+6)=2),ÚnorNe1+6,""))</f>
        <v>43134</v>
      </c>
      <c r="H5" s="15">
        <f>IF(DAY(ÚnorNe1)=1,IF(AND(YEAR(ÚnorNe1)=KalendářníRok,MONTH(ÚnorNe1)=2),ÚnorNe1,""),IF(AND(YEAR(ÚnorNe1+7)=KalendářníRok,MONTH(ÚnorNe1+7)=2),ÚnorNe1+7,""))</f>
        <v>43135</v>
      </c>
      <c r="I5" s="3"/>
      <c r="K5" s="1"/>
      <c r="L5" s="1"/>
      <c r="M5" s="1"/>
      <c r="Q5" s="2"/>
      <c r="R5" s="1"/>
    </row>
    <row r="6" spans="1:18" s="2" customFormat="1" ht="64.5" customHeight="1" x14ac:dyDescent="0.25">
      <c r="A6"/>
      <c r="B6" s="8"/>
      <c r="C6" s="8"/>
      <c r="D6" s="8"/>
      <c r="E6" s="8" t="s">
        <v>103</v>
      </c>
      <c r="F6" s="25" t="s">
        <v>96</v>
      </c>
      <c r="G6" s="9"/>
      <c r="H6" s="9"/>
      <c r="I6" s="3"/>
    </row>
    <row r="7" spans="1:18" ht="15" customHeight="1" x14ac:dyDescent="0.25">
      <c r="A7"/>
      <c r="B7" s="16">
        <f>IF(DAY(ÚnorNe1)=1,IF(AND(YEAR(ÚnorNe1+1)=KalendářníRok,MONTH(ÚnorNe1+1)=2),ÚnorNe1+1,""),IF(AND(YEAR(ÚnorNe1+8)=KalendářníRok,MONTH(ÚnorNe1+8)=2),ÚnorNe1+8,""))</f>
        <v>43136</v>
      </c>
      <c r="C7" s="16">
        <f>IF(DAY(ÚnorNe1)=1,IF(AND(YEAR(ÚnorNe1+2)=KalendářníRok,MONTH(ÚnorNe1+2)=2),ÚnorNe1+2,""),IF(AND(YEAR(ÚnorNe1+9)=KalendářníRok,MONTH(ÚnorNe1+9)=2),ÚnorNe1+9,""))</f>
        <v>43137</v>
      </c>
      <c r="D7" s="16">
        <f>IF(DAY(ÚnorNe1)=1,IF(AND(YEAR(ÚnorNe1+3)=KalendářníRok,MONTH(ÚnorNe1+3)=2),ÚnorNe1+3,""),IF(AND(YEAR(ÚnorNe1+10)=KalendářníRok,MONTH(ÚnorNe1+10)=2),ÚnorNe1+10,""))</f>
        <v>43138</v>
      </c>
      <c r="E7" s="16">
        <f>IF(DAY(ÚnorNe1)=1,IF(AND(YEAR(ÚnorNe1+4)=KalendářníRok,MONTH(ÚnorNe1+4)=2),ÚnorNe1+4,""),IF(AND(YEAR(ÚnorNe1+11)=KalendářníRok,MONTH(ÚnorNe1+11)=2),ÚnorNe1+11,""))</f>
        <v>43139</v>
      </c>
      <c r="F7" s="16">
        <f>IF(DAY(ÚnorNe1)=1,IF(AND(YEAR(ÚnorNe1+5)=KalendářníRok,MONTH(ÚnorNe1+5)=2),ÚnorNe1+5,""),IF(AND(YEAR(ÚnorNe1+12)=KalendářníRok,MONTH(ÚnorNe1+12)=2),ÚnorNe1+12,""))</f>
        <v>43140</v>
      </c>
      <c r="G7" s="16">
        <f>IF(DAY(ÚnorNe1)=1,IF(AND(YEAR(ÚnorNe1+6)=KalendářníRok,MONTH(ÚnorNe1+6)=2),ÚnorNe1+6,""),IF(AND(YEAR(ÚnorNe1+13)=KalendářníRok,MONTH(ÚnorNe1+13)=2),ÚnorNe1+13,""))</f>
        <v>43141</v>
      </c>
      <c r="H7" s="16">
        <f>IF(DAY(ÚnorNe1)=1,IF(AND(YEAR(ÚnorNe1+7)=KalendářníRok,MONTH(ÚnorNe1+7)=2),ÚnorNe1+7,""),IF(AND(YEAR(ÚnorNe1+14)=KalendářníRok,MONTH(ÚnorNe1+14)=2),ÚnorNe1+14,""))</f>
        <v>43142</v>
      </c>
      <c r="I7" s="3"/>
    </row>
    <row r="8" spans="1:18" ht="64.5" customHeight="1" x14ac:dyDescent="0.25">
      <c r="A8"/>
      <c r="B8" s="24" t="s">
        <v>98</v>
      </c>
      <c r="C8" s="10"/>
      <c r="D8" s="24" t="s">
        <v>97</v>
      </c>
      <c r="E8" s="24" t="s">
        <v>104</v>
      </c>
      <c r="F8" s="10"/>
      <c r="G8" s="28" t="s">
        <v>99</v>
      </c>
      <c r="H8" s="11"/>
      <c r="I8" s="3"/>
    </row>
    <row r="9" spans="1:18" ht="15" customHeight="1" x14ac:dyDescent="0.25">
      <c r="A9"/>
      <c r="B9" s="17"/>
      <c r="C9" s="17">
        <f>IF(DAY(ÚnorNe1)=1,IF(AND(YEAR(ÚnorNe1+9)=KalendářníRok,MONTH(ÚnorNe1+9)=2),ÚnorNe1+9,""),IF(AND(YEAR(ÚnorNe1+16)=KalendářníRok,MONTH(ÚnorNe1+16)=2),ÚnorNe1+16,""))</f>
        <v>43144</v>
      </c>
      <c r="D9" s="17">
        <f>IF(DAY(ÚnorNe1)=1,IF(AND(YEAR(ÚnorNe1+10)=KalendářníRok,MONTH(ÚnorNe1+10)=2),ÚnorNe1+10,""),IF(AND(YEAR(ÚnorNe1+17)=KalendářníRok,MONTH(ÚnorNe1+17)=2),ÚnorNe1+17,""))</f>
        <v>43145</v>
      </c>
      <c r="E9" s="17">
        <f>IF(DAY(ÚnorNe1)=1,IF(AND(YEAR(ÚnorNe1+11)=KalendářníRok,MONTH(ÚnorNe1+11)=2),ÚnorNe1+11,""),IF(AND(YEAR(ÚnorNe1+18)=KalendářníRok,MONTH(ÚnorNe1+18)=2),ÚnorNe1+18,""))</f>
        <v>43146</v>
      </c>
      <c r="F9" s="17">
        <f>IF(DAY(ÚnorNe1)=1,IF(AND(YEAR(ÚnorNe1+12)=KalendářníRok,MONTH(ÚnorNe1+12)=2),ÚnorNe1+12,""),IF(AND(YEAR(ÚnorNe1+19)=KalendářníRok,MONTH(ÚnorNe1+19)=2),ÚnorNe1+19,""))</f>
        <v>43147</v>
      </c>
      <c r="G9" s="17">
        <f>IF(DAY(ÚnorNe1)=1,IF(AND(YEAR(ÚnorNe1+13)=KalendářníRok,MONTH(ÚnorNe1+13)=2),ÚnorNe1+13,""),IF(AND(YEAR(ÚnorNe1+20)=KalendářníRok,MONTH(ÚnorNe1+20)=2),ÚnorNe1+20,""))</f>
        <v>43148</v>
      </c>
      <c r="H9" s="17">
        <f>IF(DAY(ÚnorNe1)=1,IF(AND(YEAR(ÚnorNe1+14)=KalendářníRok,MONTH(ÚnorNe1+14)=2),ÚnorNe1+14,""),IF(AND(YEAR(ÚnorNe1+21)=KalendářníRok,MONTH(ÚnorNe1+21)=2),ÚnorNe1+21,""))</f>
        <v>43149</v>
      </c>
      <c r="I9" s="3"/>
    </row>
    <row r="10" spans="1:18" ht="64.5" customHeight="1" x14ac:dyDescent="0.25">
      <c r="A10"/>
      <c r="B10" s="8"/>
      <c r="C10" s="8"/>
      <c r="D10" s="25" t="s">
        <v>100</v>
      </c>
      <c r="E10" s="8"/>
      <c r="F10" s="8"/>
      <c r="G10" s="9"/>
      <c r="H10" s="9"/>
      <c r="I10" s="3"/>
    </row>
    <row r="11" spans="1:18" ht="15" customHeight="1" x14ac:dyDescent="0.25">
      <c r="A11"/>
      <c r="B11" s="18">
        <f>IF(DAY(ÚnorNe1)=1,IF(AND(YEAR(ÚnorNe1+15)=KalendářníRok,MONTH(ÚnorNe1+15)=2),ÚnorNe1+15,""),IF(AND(YEAR(ÚnorNe1+22)=KalendářníRok,MONTH(ÚnorNe1+22)=2),ÚnorNe1+22,""))</f>
        <v>43150</v>
      </c>
      <c r="C11" s="18">
        <f>IF(DAY(ÚnorNe1)=1,IF(AND(YEAR(ÚnorNe1+16)=KalendářníRok,MONTH(ÚnorNe1+16)=2),ÚnorNe1+16,""),IF(AND(YEAR(ÚnorNe1+23)=KalendářníRok,MONTH(ÚnorNe1+23)=2),ÚnorNe1+23,""))</f>
        <v>43151</v>
      </c>
      <c r="D11" s="18">
        <f>IF(DAY(ÚnorNe1)=1,IF(AND(YEAR(ÚnorNe1+17)=KalendářníRok,MONTH(ÚnorNe1+17)=2),ÚnorNe1+17,""),IF(AND(YEAR(ÚnorNe1+24)=KalendářníRok,MONTH(ÚnorNe1+24)=2),ÚnorNe1+24,""))</f>
        <v>43152</v>
      </c>
      <c r="E11" s="18">
        <f>IF(DAY(ÚnorNe1)=1,IF(AND(YEAR(ÚnorNe1+18)=KalendářníRok,MONTH(ÚnorNe1+18)=2),ÚnorNe1+18,""),IF(AND(YEAR(ÚnorNe1+25)=KalendářníRok,MONTH(ÚnorNe1+25)=2),ÚnorNe1+25,""))</f>
        <v>43153</v>
      </c>
      <c r="F11" s="18">
        <f>IF(DAY(ÚnorNe1)=1,IF(AND(YEAR(ÚnorNe1+19)=KalendářníRok,MONTH(ÚnorNe1+19)=2),ÚnorNe1+19,""),IF(AND(YEAR(ÚnorNe1+26)=KalendářníRok,MONTH(ÚnorNe1+26)=2),ÚnorNe1+26,""))</f>
        <v>43154</v>
      </c>
      <c r="G11" s="18">
        <f>IF(DAY(ÚnorNe1)=1,IF(AND(YEAR(ÚnorNe1+20)=KalendářníRok,MONTH(ÚnorNe1+20)=2),ÚnorNe1+20,""),IF(AND(YEAR(ÚnorNe1+27)=KalendářníRok,MONTH(ÚnorNe1+27)=2),ÚnorNe1+27,""))</f>
        <v>43155</v>
      </c>
      <c r="H11" s="18">
        <f>IF(DAY(ÚnorNe1)=1,IF(AND(YEAR(ÚnorNe1+21)=KalendářníRok,MONTH(ÚnorNe1+21)=2),ÚnorNe1+21,""),IF(AND(YEAR(ÚnorNe1+28)=KalendářníRok,MONTH(ÚnorNe1+28)=2),ÚnorNe1+28,""))</f>
        <v>43156</v>
      </c>
      <c r="I11" s="3"/>
    </row>
    <row r="12" spans="1:18" ht="64.5" customHeight="1" x14ac:dyDescent="0.25">
      <c r="A12"/>
      <c r="B12" s="24" t="s">
        <v>101</v>
      </c>
      <c r="C12" s="10"/>
      <c r="D12" s="10"/>
      <c r="E12" s="29" t="s">
        <v>105</v>
      </c>
      <c r="F12" s="10"/>
      <c r="G12" s="11"/>
      <c r="H12" s="11"/>
      <c r="I12" s="3"/>
    </row>
    <row r="13" spans="1:18" ht="15" customHeight="1" x14ac:dyDescent="0.25">
      <c r="A13"/>
      <c r="B13" s="17">
        <f>IF(DAY(ÚnorNe1)=1,IF(AND(YEAR(ÚnorNe1+22)=KalendářníRok,MONTH(ÚnorNe1+22)=2),ÚnorNe1+22,""),IF(AND(YEAR(ÚnorNe1+29)=KalendářníRok,MONTH(ÚnorNe1+29)=2),ÚnorNe1+29,""))</f>
        <v>43157</v>
      </c>
      <c r="C13" s="17">
        <f>IF(DAY(ÚnorNe1)=1,IF(AND(YEAR(ÚnorNe1+23)=KalendářníRok,MONTH(ÚnorNe1+23)=2),ÚnorNe1+23,""),IF(AND(YEAR(ÚnorNe1+30)=KalendářníRok,MONTH(ÚnorNe1+30)=2),ÚnorNe1+30,""))</f>
        <v>43158</v>
      </c>
      <c r="D13" s="17">
        <f>IF(DAY(ÚnorNe1)=1,IF(AND(YEAR(ÚnorNe1+24)=KalendářníRok,MONTH(ÚnorNe1+24)=2),ÚnorNe1+24,""),IF(AND(YEAR(ÚnorNe1+31)=KalendářníRok,MONTH(ÚnorNe1+31)=2),ÚnorNe1+31,""))</f>
        <v>43159</v>
      </c>
      <c r="E13" s="17" t="str">
        <f>IF(DAY(ÚnorNe1)=1,IF(AND(YEAR(ÚnorNe1+25)=KalendářníRok,MONTH(ÚnorNe1+25)=2),ÚnorNe1+25,""),IF(AND(YEAR(ÚnorNe1+32)=KalendářníRok,MONTH(ÚnorNe1+32)=2),ÚnorNe1+32,""))</f>
        <v/>
      </c>
      <c r="F13" s="17" t="str">
        <f>IF(DAY(ÚnorNe1)=1,IF(AND(YEAR(ÚnorNe1+26)=KalendářníRok,MONTH(ÚnorNe1+26)=2),ÚnorNe1+26,""),IF(AND(YEAR(ÚnorNe1+33)=KalendářníRok,MONTH(ÚnorNe1+33)=2),ÚnorNe1+33,""))</f>
        <v/>
      </c>
      <c r="G13" s="17" t="str">
        <f>IF(DAY(ÚnorNe1)=1,IF(AND(YEAR(ÚnorNe1+27)=KalendářníRok,MONTH(ÚnorNe1+27)=2),ÚnorNe1+27,""),IF(AND(YEAR(ÚnorNe1+34)=KalendářníRok,MONTH(ÚnorNe1+34)=2),ÚnorNe1+34,""))</f>
        <v/>
      </c>
      <c r="H13" s="17" t="str">
        <f>IF(DAY(ÚnorNe1)=1,IF(AND(YEAR(ÚnorNe1+28)=KalendářníRok,MONTH(ÚnorNe1+28)=2),ÚnorNe1+28,""),IF(AND(YEAR(ÚnorNe1+35)=KalendářníRok,MONTH(ÚnorNe1+35)=2),ÚnorNe1+35,""))</f>
        <v/>
      </c>
      <c r="I13" s="3"/>
    </row>
    <row r="14" spans="1:18" ht="64.5" customHeight="1" x14ac:dyDescent="0.25">
      <c r="A14"/>
      <c r="B14" s="25" t="s">
        <v>102</v>
      </c>
      <c r="C14" s="27" t="s">
        <v>102</v>
      </c>
      <c r="D14" s="27" t="s">
        <v>102</v>
      </c>
      <c r="E14" s="8"/>
      <c r="F14" s="8"/>
      <c r="G14" s="9"/>
      <c r="H14" s="9"/>
      <c r="I14" s="3"/>
    </row>
    <row r="15" spans="1:18" ht="15" customHeight="1" x14ac:dyDescent="0.25">
      <c r="A15"/>
      <c r="B15" s="18" t="str">
        <f>IF(DAY(ÚnorNe1)=1,IF(AND(YEAR(ÚnorNe1+29)=KalendářníRok,MONTH(ÚnorNe1+29)=2),ÚnorNe1+29,""),IF(AND(YEAR(ÚnorNe1+36)=KalendářníRok,MONTH(ÚnorNe1+36)=2),ÚnorNe1+36,""))</f>
        <v/>
      </c>
      <c r="C15" s="19" t="str">
        <f>IF(DAY(ÚnorNe1)=1,IF(AND(YEAR(ÚnorNe1+30)=KalendářníRok,MONTH(ÚnorNe1+30)=2),ÚnorNe1+30,""),IF(AND(YEAR(ÚnorNe1+37)=KalendářníRok,MONTH(ÚnorNe1+37)=2),ÚnorNe1+37,""))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7" orientation="landscape" horizontalDpi="300" verticalDpi="300"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249977111117893"/>
    <pageSetUpPr fitToPage="1"/>
  </sheetPr>
  <dimension ref="A1:R20"/>
  <sheetViews>
    <sheetView showGridLines="0" tabSelected="1" zoomScaleNormal="100" workbookViewId="0">
      <selection activeCell="O8" sqref="O8"/>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UPPER(TEXT(DATE(KalendářníRok,3,1),"mmmm rrrr"))</f>
        <v>BŘEZEN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IF(DAY(BřezNe1)=1,"",IF(AND(YEAR(BřezNe1+1)=KalendářníRok,MONTH(BřezNe1+1)=3),BřezNe1+1,""))</f>
        <v/>
      </c>
      <c r="C5" s="15" t="str">
        <f>IF(DAY(BřezNe1)=1,"",IF(AND(YEAR(BřezNe1+2)=KalendářníRok,MONTH(BřezNe1+2)=3),BřezNe1+2,""))</f>
        <v/>
      </c>
      <c r="D5" s="15" t="str">
        <f>IF(DAY(BřezNe1)=1,"",IF(AND(YEAR(BřezNe1+3)=KalendářníRok,MONTH(BřezNe1+3)=3),BřezNe1+3,""))</f>
        <v/>
      </c>
      <c r="E5" s="15">
        <f>IF(DAY(BřezNe1)=1,"",IF(AND(YEAR(BřezNe1+4)=KalendářníRok,MONTH(BřezNe1+4)=3),BřezNe1+4,""))</f>
        <v>43160</v>
      </c>
      <c r="F5" s="15">
        <f>IF(DAY(BřezNe1)=1,"",IF(AND(YEAR(BřezNe1+5)=KalendářníRok,MONTH(BřezNe1+5)=3),BřezNe1+5,""))</f>
        <v>43161</v>
      </c>
      <c r="G5" s="15">
        <f>IF(DAY(BřezNe1)=1,"",IF(AND(YEAR(BřezNe1+6)=KalendářníRok,MONTH(BřezNe1+6)=3),BřezNe1+6,""))</f>
        <v>43162</v>
      </c>
      <c r="H5" s="15">
        <f>IF(DAY(BřezNe1)=1,IF(AND(YEAR(BřezNe1)=KalendářníRok,MONTH(BřezNe1)=3),BřezNe1,""),IF(AND(YEAR(BřezNe1+7)=KalendářníRok,MONTH(BřezNe1+7)=3),BřezNe1+7,""))</f>
        <v>43163</v>
      </c>
      <c r="I5" s="3"/>
      <c r="K5" s="1"/>
      <c r="L5" s="1"/>
      <c r="M5" s="1"/>
      <c r="Q5" s="2"/>
      <c r="R5" s="1"/>
    </row>
    <row r="6" spans="1:18" s="2" customFormat="1" ht="64.5" customHeight="1" x14ac:dyDescent="0.25">
      <c r="A6"/>
      <c r="B6" s="8"/>
      <c r="C6" s="8"/>
      <c r="D6" s="8"/>
      <c r="E6" s="27" t="s">
        <v>106</v>
      </c>
      <c r="F6" s="25" t="s">
        <v>107</v>
      </c>
      <c r="G6" s="9"/>
      <c r="H6" s="9"/>
      <c r="I6" s="3"/>
    </row>
    <row r="7" spans="1:18" ht="15" customHeight="1" x14ac:dyDescent="0.25">
      <c r="A7"/>
      <c r="B7" s="16">
        <f>IF(DAY(BřezNe1)=1,IF(AND(YEAR(BřezNe1+1)=KalendářníRok,MONTH(BřezNe1+1)=3),BřezNe1+1,""),IF(AND(YEAR(BřezNe1+8)=KalendářníRok,MONTH(BřezNe1+8)=3),BřezNe1+8,""))</f>
        <v>43164</v>
      </c>
      <c r="C7" s="16">
        <f>IF(DAY(BřezNe1)=1,IF(AND(YEAR(BřezNe1+2)=KalendářníRok,MONTH(BřezNe1+2)=3),BřezNe1+2,""),IF(AND(YEAR(BřezNe1+9)=KalendářníRok,MONTH(BřezNe1+9)=3),BřezNe1+9,""))</f>
        <v>43165</v>
      </c>
      <c r="D7" s="16">
        <f>IF(DAY(BřezNe1)=1,IF(AND(YEAR(BřezNe1+3)=KalendářníRok,MONTH(BřezNe1+3)=3),BřezNe1+3,""),IF(AND(YEAR(BřezNe1+10)=KalendářníRok,MONTH(BřezNe1+10)=3),BřezNe1+10,""))</f>
        <v>43166</v>
      </c>
      <c r="E7" s="16">
        <f>IF(DAY(BřezNe1)=1,IF(AND(YEAR(BřezNe1+4)=KalendářníRok,MONTH(BřezNe1+4)=3),BřezNe1+4,""),IF(AND(YEAR(BřezNe1+11)=KalendářníRok,MONTH(BřezNe1+11)=3),BřezNe1+11,""))</f>
        <v>43167</v>
      </c>
      <c r="F7" s="16">
        <f>IF(DAY(BřezNe1)=1,IF(AND(YEAR(BřezNe1+5)=KalendářníRok,MONTH(BřezNe1+5)=3),BřezNe1+5,""),IF(AND(YEAR(BřezNe1+12)=KalendářníRok,MONTH(BřezNe1+12)=3),BřezNe1+12,""))</f>
        <v>43168</v>
      </c>
      <c r="G7" s="16">
        <f>IF(DAY(BřezNe1)=1,IF(AND(YEAR(BřezNe1+6)=KalendářníRok,MONTH(BřezNe1+6)=3),BřezNe1+6,""),IF(AND(YEAR(BřezNe1+13)=KalendářníRok,MONTH(BřezNe1+13)=3),BřezNe1+13,""))</f>
        <v>43169</v>
      </c>
      <c r="H7" s="16">
        <f>IF(DAY(BřezNe1)=1,IF(AND(YEAR(BřezNe1+7)=KalendářníRok,MONTH(BřezNe1+7)=3),BřezNe1+7,""),IF(AND(YEAR(BřezNe1+14)=KalendářníRok,MONTH(BřezNe1+14)=3),BřezNe1+14,""))</f>
        <v>43170</v>
      </c>
      <c r="I7" s="3"/>
    </row>
    <row r="8" spans="1:18" ht="64.5" customHeight="1" x14ac:dyDescent="0.25">
      <c r="A8"/>
      <c r="B8" s="24" t="s">
        <v>114</v>
      </c>
      <c r="C8" s="10"/>
      <c r="D8" s="24" t="s">
        <v>108</v>
      </c>
      <c r="E8" s="10"/>
      <c r="F8" s="10"/>
      <c r="G8" s="11"/>
      <c r="H8" s="28" t="s">
        <v>113</v>
      </c>
      <c r="I8" s="3"/>
    </row>
    <row r="9" spans="1:18" ht="15" customHeight="1" x14ac:dyDescent="0.25">
      <c r="A9"/>
      <c r="B9" s="17">
        <f>IF(DAY(BřezNe1)=1,IF(AND(YEAR(BřezNe1+8)=KalendářníRok,MONTH(BřezNe1+8)=3),BřezNe1+8,""),IF(AND(YEAR(BřezNe1+15)=KalendářníRok,MONTH(BřezNe1+15)=3),BřezNe1+15,""))</f>
        <v>43171</v>
      </c>
      <c r="C9" s="17">
        <f>IF(DAY(BřezNe1)=1,IF(AND(YEAR(BřezNe1+9)=KalendářníRok,MONTH(BřezNe1+9)=3),BřezNe1+9,""),IF(AND(YEAR(BřezNe1+16)=KalendářníRok,MONTH(BřezNe1+16)=3),BřezNe1+16,""))</f>
        <v>43172</v>
      </c>
      <c r="D9" s="17">
        <f>IF(DAY(BřezNe1)=1,IF(AND(YEAR(BřezNe1+10)=KalendářníRok,MONTH(BřezNe1+10)=3),BřezNe1+10,""),IF(AND(YEAR(BřezNe1+17)=KalendářníRok,MONTH(BřezNe1+17)=3),BřezNe1+17,""))</f>
        <v>43173</v>
      </c>
      <c r="E9" s="17">
        <f>IF(DAY(BřezNe1)=1,IF(AND(YEAR(BřezNe1+11)=KalendářníRok,MONTH(BřezNe1+11)=3),BřezNe1+11,""),IF(AND(YEAR(BřezNe1+18)=KalendářníRok,MONTH(BřezNe1+18)=3),BřezNe1+18,""))</f>
        <v>43174</v>
      </c>
      <c r="F9" s="17">
        <f>IF(DAY(BřezNe1)=1,IF(AND(YEAR(BřezNe1+12)=KalendářníRok,MONTH(BřezNe1+12)=3),BřezNe1+12,""),IF(AND(YEAR(BřezNe1+19)=KalendářníRok,MONTH(BřezNe1+19)=3),BřezNe1+19,""))</f>
        <v>43175</v>
      </c>
      <c r="G9" s="17">
        <f>IF(DAY(BřezNe1)=1,IF(AND(YEAR(BřezNe1+13)=KalendářníRok,MONTH(BřezNe1+13)=3),BřezNe1+13,""),IF(AND(YEAR(BřezNe1+20)=KalendářníRok,MONTH(BřezNe1+20)=3),BřezNe1+20,""))</f>
        <v>43176</v>
      </c>
      <c r="H9" s="17">
        <f>IF(DAY(BřezNe1)=1,IF(AND(YEAR(BřezNe1+14)=KalendářníRok,MONTH(BřezNe1+14)=3),BřezNe1+14,""),IF(AND(YEAR(BřezNe1+21)=KalendářníRok,MONTH(BřezNe1+21)=3),BřezNe1+21,""))</f>
        <v>43177</v>
      </c>
      <c r="I9" s="3"/>
    </row>
    <row r="10" spans="1:18" ht="64.5" customHeight="1" x14ac:dyDescent="0.25">
      <c r="A10"/>
      <c r="B10" s="25" t="s">
        <v>110</v>
      </c>
      <c r="C10" s="8"/>
      <c r="D10" s="27" t="s">
        <v>109</v>
      </c>
      <c r="E10" s="8"/>
      <c r="F10" s="8"/>
      <c r="G10" s="9"/>
      <c r="H10" s="9"/>
      <c r="I10" s="3"/>
    </row>
    <row r="11" spans="1:18" ht="15" customHeight="1" x14ac:dyDescent="0.25">
      <c r="A11"/>
      <c r="B11" s="18">
        <f>IF(DAY(BřezNe1)=1,IF(AND(YEAR(BřezNe1+15)=KalendářníRok,MONTH(BřezNe1+15)=3),BřezNe1+15,""),IF(AND(YEAR(BřezNe1+22)=KalendářníRok,MONTH(BřezNe1+22)=3),BřezNe1+22,""))</f>
        <v>43178</v>
      </c>
      <c r="C11" s="18">
        <f>IF(DAY(BřezNe1)=1,IF(AND(YEAR(BřezNe1+16)=KalendářníRok,MONTH(BřezNe1+16)=3),BřezNe1+16,""),IF(AND(YEAR(BřezNe1+23)=KalendářníRok,MONTH(BřezNe1+23)=3),BřezNe1+23,""))</f>
        <v>43179</v>
      </c>
      <c r="D11" s="18">
        <f>IF(DAY(BřezNe1)=1,IF(AND(YEAR(BřezNe1+17)=KalendářníRok,MONTH(BřezNe1+17)=3),BřezNe1+17,""),IF(AND(YEAR(BřezNe1+24)=KalendářníRok,MONTH(BřezNe1+24)=3),BřezNe1+24,""))</f>
        <v>43180</v>
      </c>
      <c r="E11" s="18">
        <f>IF(DAY(BřezNe1)=1,IF(AND(YEAR(BřezNe1+18)=KalendářníRok,MONTH(BřezNe1+18)=3),BřezNe1+18,""),IF(AND(YEAR(BřezNe1+25)=KalendářníRok,MONTH(BřezNe1+25)=3),BřezNe1+25,""))</f>
        <v>43181</v>
      </c>
      <c r="F11" s="18">
        <f>IF(DAY(BřezNe1)=1,IF(AND(YEAR(BřezNe1+19)=KalendářníRok,MONTH(BřezNe1+19)=3),BřezNe1+19,""),IF(AND(YEAR(BřezNe1+26)=KalendářníRok,MONTH(BřezNe1+26)=3),BřezNe1+26,""))</f>
        <v>43182</v>
      </c>
      <c r="G11" s="18">
        <f>IF(DAY(BřezNe1)=1,IF(AND(YEAR(BřezNe1+20)=KalendářníRok,MONTH(BřezNe1+20)=3),BřezNe1+20,""),IF(AND(YEAR(BřezNe1+27)=KalendářníRok,MONTH(BřezNe1+27)=3),BřezNe1+27,""))</f>
        <v>43183</v>
      </c>
      <c r="H11" s="18">
        <f>IF(DAY(BřezNe1)=1,IF(AND(YEAR(BřezNe1+21)=KalendářníRok,MONTH(BřezNe1+21)=3),BřezNe1+21,""),IF(AND(YEAR(BřezNe1+28)=KalendářníRok,MONTH(BřezNe1+28)=3),BřezNe1+28,""))</f>
        <v>43184</v>
      </c>
      <c r="I11" s="3"/>
    </row>
    <row r="12" spans="1:18" ht="64.5" customHeight="1" x14ac:dyDescent="0.25">
      <c r="A12"/>
      <c r="B12" s="10"/>
      <c r="C12" s="10"/>
      <c r="D12" s="24" t="s">
        <v>111</v>
      </c>
      <c r="E12" s="10"/>
      <c r="F12" s="10"/>
      <c r="G12" s="11"/>
      <c r="H12" s="11"/>
      <c r="I12" s="3"/>
    </row>
    <row r="13" spans="1:18" ht="15" customHeight="1" x14ac:dyDescent="0.25">
      <c r="A13"/>
      <c r="B13" s="17">
        <f>IF(DAY(BřezNe1)=1,IF(AND(YEAR(BřezNe1+22)=KalendářníRok,MONTH(BřezNe1+22)=3),BřezNe1+22,""),IF(AND(YEAR(BřezNe1+29)=KalendářníRok,MONTH(BřezNe1+29)=3),BřezNe1+29,""))</f>
        <v>43185</v>
      </c>
      <c r="C13" s="17">
        <f>IF(DAY(BřezNe1)=1,IF(AND(YEAR(BřezNe1+23)=KalendářníRok,MONTH(BřezNe1+23)=3),BřezNe1+23,""),IF(AND(YEAR(BřezNe1+30)=KalendářníRok,MONTH(BřezNe1+30)=3),BřezNe1+30,""))</f>
        <v>43186</v>
      </c>
      <c r="D13" s="17">
        <f>IF(DAY(BřezNe1)=1,IF(AND(YEAR(BřezNe1+24)=KalendářníRok,MONTH(BřezNe1+24)=3),BřezNe1+24,""),IF(AND(YEAR(BřezNe1+31)=KalendářníRok,MONTH(BřezNe1+31)=3),BřezNe1+31,""))</f>
        <v>43187</v>
      </c>
      <c r="E13" s="17">
        <f>IF(DAY(BřezNe1)=1,IF(AND(YEAR(BřezNe1+25)=KalendářníRok,MONTH(BřezNe1+25)=3),BřezNe1+25,""),IF(AND(YEAR(BřezNe1+32)=KalendářníRok,MONTH(BřezNe1+32)=3),BřezNe1+32,""))</f>
        <v>43188</v>
      </c>
      <c r="F13" s="17">
        <f>IF(DAY(BřezNe1)=1,IF(AND(YEAR(BřezNe1+26)=KalendářníRok,MONTH(BřezNe1+26)=3),BřezNe1+26,""),IF(AND(YEAR(BřezNe1+33)=KalendářníRok,MONTH(BřezNe1+33)=3),BřezNe1+33,""))</f>
        <v>43189</v>
      </c>
      <c r="G13" s="17">
        <f>IF(DAY(BřezNe1)=1,IF(AND(YEAR(BřezNe1+27)=KalendářníRok,MONTH(BřezNe1+27)=3),BřezNe1+27,""),IF(AND(YEAR(BřezNe1+34)=KalendářníRok,MONTH(BřezNe1+34)=3),BřezNe1+34,""))</f>
        <v>43190</v>
      </c>
      <c r="H13" s="17" t="str">
        <f>IF(DAY(BřezNe1)=1,IF(AND(YEAR(BřezNe1+28)=KalendářníRok,MONTH(BřezNe1+28)=3),BřezNe1+28,""),IF(AND(YEAR(BřezNe1+35)=KalendářníRok,MONTH(BřezNe1+35)=3),BřezNe1+35,""))</f>
        <v/>
      </c>
      <c r="I13" s="3"/>
    </row>
    <row r="14" spans="1:18" ht="64.5" customHeight="1" x14ac:dyDescent="0.25">
      <c r="A14"/>
      <c r="B14" s="8"/>
      <c r="C14" s="8"/>
      <c r="D14" s="8"/>
      <c r="E14" s="8"/>
      <c r="F14" s="25" t="s">
        <v>112</v>
      </c>
      <c r="G14" s="9"/>
      <c r="H14" s="9"/>
      <c r="I14" s="3"/>
    </row>
    <row r="15" spans="1:18" ht="15" customHeight="1" x14ac:dyDescent="0.25">
      <c r="A15"/>
      <c r="B15" s="18" t="str">
        <f>IF(DAY(BřezNe1)=1,IF(AND(YEAR(BřezNe1+29)=KalendářníRok,MONTH(BřezNe1+29)=3),BřezNe1+29,""),IF(AND(YEAR(BřezNe1+36)=KalendářníRok,MONTH(BřezNe1+36)=3),BřezNe1+36,""))</f>
        <v/>
      </c>
      <c r="C15" s="19" t="str">
        <f>IF(DAY(BřezNe1)=1,IF(AND(YEAR(BřezNe1+30)=KalendářníRok,MONTH(BřezNe1+30)=3),BřezNe1+30,""),IF(AND(YEAR(BřezNe1+37)=KalendářníRok,MONTH(BřezNe1+37)=3),BřezNe1+37,""))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3" orientation="landscape"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14999847407452621"/>
    <pageSetUpPr fitToPage="1"/>
  </sheetPr>
  <dimension ref="A1:R20"/>
  <sheetViews>
    <sheetView showGridLines="0" topLeftCell="A13" zoomScaleNormal="100" workbookViewId="0">
      <selection activeCell="F14" sqref="F14"/>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UPPER(TEXT(DATE(KalendářníRok,4,1),"mmmm rrrr"))</f>
        <v>DUBEN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IF(DAY(DubNe1)=1,"",IF(AND(YEAR(DubNe1+1)=KalendářníRok,MONTH(DubNe1+1)=4),DubNe1+1,""))</f>
        <v/>
      </c>
      <c r="C5" s="15" t="str">
        <f>IF(DAY(DubNe1)=1,"",IF(AND(YEAR(DubNe1+2)=KalendářníRok,MONTH(DubNe1+2)=4),DubNe1+2,""))</f>
        <v/>
      </c>
      <c r="D5" s="15" t="str">
        <f>IF(DAY(DubNe1)=1,"",IF(AND(YEAR(DubNe1+3)=KalendářníRok,MONTH(DubNe1+3)=4),DubNe1+3,""))</f>
        <v/>
      </c>
      <c r="E5" s="15" t="str">
        <f>IF(DAY(DubNe1)=1,"",IF(AND(YEAR(DubNe1+4)=KalendářníRok,MONTH(DubNe1+4)=4),DubNe1+4,""))</f>
        <v/>
      </c>
      <c r="F5" s="15" t="str">
        <f>IF(DAY(DubNe1)=1,"",IF(AND(YEAR(DubNe1+5)=KalendářníRok,MONTH(DubNe1+5)=4),DubNe1+5,""))</f>
        <v/>
      </c>
      <c r="G5" s="15" t="str">
        <f>IF(DAY(DubNe1)=1,"",IF(AND(YEAR(DubNe1+6)=KalendářníRok,MONTH(DubNe1+6)=4),DubNe1+6,""))</f>
        <v/>
      </c>
      <c r="H5" s="15">
        <f>IF(DAY(DubNe1)=1,IF(AND(YEAR(DubNe1)=KalendářníRok,MONTH(DubNe1)=4),DubNe1,""),IF(AND(YEAR(DubNe1+7)=KalendářníRok,MONTH(DubNe1+7)=4),DubNe1+7,""))</f>
        <v>43191</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f>IF(DAY(DubNe1)=1,IF(AND(YEAR(DubNe1+1)=KalendářníRok,MONTH(DubNe1+1)=4),DubNe1+1,""),IF(AND(YEAR(DubNe1+8)=KalendářníRok,MONTH(DubNe1+8)=4),DubNe1+8,""))</f>
        <v>43192</v>
      </c>
      <c r="C7" s="16">
        <f>IF(DAY(DubNe1)=1,IF(AND(YEAR(DubNe1+2)=KalendářníRok,MONTH(DubNe1+2)=4),DubNe1+2,""),IF(AND(YEAR(DubNe1+9)=KalendářníRok,MONTH(DubNe1+9)=4),DubNe1+9,""))</f>
        <v>43193</v>
      </c>
      <c r="D7" s="16">
        <f>IF(DAY(DubNe1)=1,IF(AND(YEAR(DubNe1+3)=KalendářníRok,MONTH(DubNe1+3)=4),DubNe1+3,""),IF(AND(YEAR(DubNe1+10)=KalendářníRok,MONTH(DubNe1+10)=4),DubNe1+10,""))</f>
        <v>43194</v>
      </c>
      <c r="E7" s="16">
        <f>IF(DAY(DubNe1)=1,IF(AND(YEAR(DubNe1+4)=KalendářníRok,MONTH(DubNe1+4)=4),DubNe1+4,""),IF(AND(YEAR(DubNe1+11)=KalendářníRok,MONTH(DubNe1+11)=4),DubNe1+11,""))</f>
        <v>43195</v>
      </c>
      <c r="F7" s="16">
        <f>IF(DAY(DubNe1)=1,IF(AND(YEAR(DubNe1+5)=KalendářníRok,MONTH(DubNe1+5)=4),DubNe1+5,""),IF(AND(YEAR(DubNe1+12)=KalendářníRok,MONTH(DubNe1+12)=4),DubNe1+12,""))</f>
        <v>43196</v>
      </c>
      <c r="G7" s="16">
        <f>IF(DAY(DubNe1)=1,IF(AND(YEAR(DubNe1+6)=KalendářníRok,MONTH(DubNe1+6)=4),DubNe1+6,""),IF(AND(YEAR(DubNe1+13)=KalendářníRok,MONTH(DubNe1+13)=4),DubNe1+13,""))</f>
        <v>43197</v>
      </c>
      <c r="H7" s="16">
        <f>IF(DAY(DubNe1)=1,IF(AND(YEAR(DubNe1+7)=KalendářníRok,MONTH(DubNe1+7)=4),DubNe1+7,""),IF(AND(YEAR(DubNe1+14)=KalendářníRok,MONTH(DubNe1+14)=4),DubNe1+14,""))</f>
        <v>43198</v>
      </c>
      <c r="I7" s="3"/>
    </row>
    <row r="8" spans="1:18" ht="64.5" customHeight="1" x14ac:dyDescent="0.25">
      <c r="A8"/>
      <c r="B8" s="10" t="s">
        <v>10</v>
      </c>
      <c r="C8" s="10" t="s">
        <v>9</v>
      </c>
      <c r="D8" s="10" t="s">
        <v>14</v>
      </c>
      <c r="E8" s="10"/>
      <c r="F8" s="10" t="s">
        <v>11</v>
      </c>
      <c r="G8" s="11"/>
      <c r="H8" s="11"/>
      <c r="I8" s="3"/>
    </row>
    <row r="9" spans="1:18" ht="15" customHeight="1" x14ac:dyDescent="0.25">
      <c r="A9"/>
      <c r="B9" s="17">
        <f>IF(DAY(DubNe1)=1,IF(AND(YEAR(DubNe1+8)=KalendářníRok,MONTH(DubNe1+8)=4),DubNe1+8,""),IF(AND(YEAR(DubNe1+15)=KalendářníRok,MONTH(DubNe1+15)=4),DubNe1+15,""))</f>
        <v>43199</v>
      </c>
      <c r="C9" s="17">
        <f>IF(DAY(DubNe1)=1,IF(AND(YEAR(DubNe1+9)=KalendářníRok,MONTH(DubNe1+9)=4),DubNe1+9,""),IF(AND(YEAR(DubNe1+16)=KalendářníRok,MONTH(DubNe1+16)=4),DubNe1+16,""))</f>
        <v>43200</v>
      </c>
      <c r="D9" s="17">
        <f>IF(DAY(DubNe1)=1,IF(AND(YEAR(DubNe1+10)=KalendářníRok,MONTH(DubNe1+10)=4),DubNe1+10,""),IF(AND(YEAR(DubNe1+17)=KalendářníRok,MONTH(DubNe1+17)=4),DubNe1+17,""))</f>
        <v>43201</v>
      </c>
      <c r="E9" s="17">
        <f>IF(DAY(DubNe1)=1,IF(AND(YEAR(DubNe1+11)=KalendářníRok,MONTH(DubNe1+11)=4),DubNe1+11,""),IF(AND(YEAR(DubNe1+18)=KalendářníRok,MONTH(DubNe1+18)=4),DubNe1+18,""))</f>
        <v>43202</v>
      </c>
      <c r="F9" s="17">
        <f>IF(DAY(DubNe1)=1,IF(AND(YEAR(DubNe1+12)=KalendářníRok,MONTH(DubNe1+12)=4),DubNe1+12,""),IF(AND(YEAR(DubNe1+19)=KalendářníRok,MONTH(DubNe1+19)=4),DubNe1+19,""))</f>
        <v>43203</v>
      </c>
      <c r="G9" s="17">
        <f>IF(DAY(DubNe1)=1,IF(AND(YEAR(DubNe1+13)=KalendářníRok,MONTH(DubNe1+13)=4),DubNe1+13,""),IF(AND(YEAR(DubNe1+20)=KalendářníRok,MONTH(DubNe1+20)=4),DubNe1+20,""))</f>
        <v>43204</v>
      </c>
      <c r="H9" s="17">
        <f>IF(DAY(DubNe1)=1,IF(AND(YEAR(DubNe1+14)=KalendářníRok,MONTH(DubNe1+14)=4),DubNe1+14,""),IF(AND(YEAR(DubNe1+21)=KalendářníRok,MONTH(DubNe1+21)=4),DubNe1+21,""))</f>
        <v>43205</v>
      </c>
      <c r="I9" s="3"/>
    </row>
    <row r="10" spans="1:18" ht="64.5" customHeight="1" x14ac:dyDescent="0.25">
      <c r="A10"/>
      <c r="B10" s="8" t="s">
        <v>18</v>
      </c>
      <c r="C10" s="8"/>
      <c r="D10" s="8"/>
      <c r="E10" s="8" t="s">
        <v>20</v>
      </c>
      <c r="F10" s="8" t="s">
        <v>12</v>
      </c>
      <c r="G10" s="9"/>
      <c r="H10" s="9"/>
      <c r="I10" s="3"/>
    </row>
    <row r="11" spans="1:18" ht="15" customHeight="1" x14ac:dyDescent="0.25">
      <c r="A11"/>
      <c r="B11" s="18">
        <f>IF(DAY(DubNe1)=1,IF(AND(YEAR(DubNe1+15)=KalendářníRok,MONTH(DubNe1+15)=4),DubNe1+15,""),IF(AND(YEAR(DubNe1+22)=KalendářníRok,MONTH(DubNe1+22)=4),DubNe1+22,""))</f>
        <v>43206</v>
      </c>
      <c r="C11" s="18">
        <f>IF(DAY(DubNe1)=1,IF(AND(YEAR(DubNe1+16)=KalendářníRok,MONTH(DubNe1+16)=4),DubNe1+16,""),IF(AND(YEAR(DubNe1+23)=KalendářníRok,MONTH(DubNe1+23)=4),DubNe1+23,""))</f>
        <v>43207</v>
      </c>
      <c r="D11" s="18">
        <f>IF(DAY(DubNe1)=1,IF(AND(YEAR(DubNe1+17)=KalendářníRok,MONTH(DubNe1+17)=4),DubNe1+17,""),IF(AND(YEAR(DubNe1+24)=KalendářníRok,MONTH(DubNe1+24)=4),DubNe1+24,""))</f>
        <v>43208</v>
      </c>
      <c r="E11" s="18">
        <f>IF(DAY(DubNe1)=1,IF(AND(YEAR(DubNe1+18)=KalendářníRok,MONTH(DubNe1+18)=4),DubNe1+18,""),IF(AND(YEAR(DubNe1+25)=KalendářníRok,MONTH(DubNe1+25)=4),DubNe1+25,""))</f>
        <v>43209</v>
      </c>
      <c r="F11" s="18">
        <f>IF(DAY(DubNe1)=1,IF(AND(YEAR(DubNe1+19)=KalendářníRok,MONTH(DubNe1+19)=4),DubNe1+19,""),IF(AND(YEAR(DubNe1+26)=KalendářníRok,MONTH(DubNe1+26)=4),DubNe1+26,""))</f>
        <v>43210</v>
      </c>
      <c r="G11" s="18">
        <f>IF(DAY(DubNe1)=1,IF(AND(YEAR(DubNe1+20)=KalendářníRok,MONTH(DubNe1+20)=4),DubNe1+20,""),IF(AND(YEAR(DubNe1+27)=KalendářníRok,MONTH(DubNe1+27)=4),DubNe1+27,""))</f>
        <v>43211</v>
      </c>
      <c r="H11" s="18">
        <f>IF(DAY(DubNe1)=1,IF(AND(YEAR(DubNe1+21)=KalendářníRok,MONTH(DubNe1+21)=4),DubNe1+21,""),IF(AND(YEAR(DubNe1+28)=KalendářníRok,MONTH(DubNe1+28)=4),DubNe1+28,""))</f>
        <v>43212</v>
      </c>
      <c r="I11" s="3"/>
    </row>
    <row r="12" spans="1:18" ht="64.5" customHeight="1" x14ac:dyDescent="0.25">
      <c r="A12"/>
      <c r="B12" s="10" t="s">
        <v>13</v>
      </c>
      <c r="C12" s="10"/>
      <c r="D12" s="10"/>
      <c r="E12" s="10"/>
      <c r="F12" s="10" t="s">
        <v>21</v>
      </c>
      <c r="G12" s="11" t="s">
        <v>15</v>
      </c>
      <c r="H12" s="11" t="s">
        <v>16</v>
      </c>
      <c r="I12" s="3"/>
    </row>
    <row r="13" spans="1:18" ht="15" customHeight="1" x14ac:dyDescent="0.25">
      <c r="A13"/>
      <c r="B13" s="17">
        <f>IF(DAY(DubNe1)=1,IF(AND(YEAR(DubNe1+22)=KalendářníRok,MONTH(DubNe1+22)=4),DubNe1+22,""),IF(AND(YEAR(DubNe1+29)=KalendářníRok,MONTH(DubNe1+29)=4),DubNe1+29,""))</f>
        <v>43213</v>
      </c>
      <c r="C13" s="17">
        <f>IF(DAY(DubNe1)=1,IF(AND(YEAR(DubNe1+23)=KalendářníRok,MONTH(DubNe1+23)=4),DubNe1+23,""),IF(AND(YEAR(DubNe1+30)=KalendářníRok,MONTH(DubNe1+30)=4),DubNe1+30,""))</f>
        <v>43214</v>
      </c>
      <c r="D13" s="17">
        <f>IF(DAY(DubNe1)=1,IF(AND(YEAR(DubNe1+24)=KalendářníRok,MONTH(DubNe1+24)=4),DubNe1+24,""),IF(AND(YEAR(DubNe1+31)=KalendářníRok,MONTH(DubNe1+31)=4),DubNe1+31,""))</f>
        <v>43215</v>
      </c>
      <c r="E13" s="17">
        <f>IF(DAY(DubNe1)=1,IF(AND(YEAR(DubNe1+25)=KalendářníRok,MONTH(DubNe1+25)=4),DubNe1+25,""),IF(AND(YEAR(DubNe1+32)=KalendářníRok,MONTH(DubNe1+32)=4),DubNe1+32,""))</f>
        <v>43216</v>
      </c>
      <c r="F13" s="17">
        <f>IF(DAY(DubNe1)=1,IF(AND(YEAR(DubNe1+26)=KalendářníRok,MONTH(DubNe1+26)=4),DubNe1+26,""),IF(AND(YEAR(DubNe1+33)=KalendářníRok,MONTH(DubNe1+33)=4),DubNe1+33,""))</f>
        <v>43217</v>
      </c>
      <c r="G13" s="17">
        <f>IF(DAY(DubNe1)=1,IF(AND(YEAR(DubNe1+27)=KalendářníRok,MONTH(DubNe1+27)=4),DubNe1+27,""),IF(AND(YEAR(DubNe1+34)=KalendářníRok,MONTH(DubNe1+34)=4),DubNe1+34,""))</f>
        <v>43218</v>
      </c>
      <c r="H13" s="17">
        <f>IF(DAY(DubNe1)=1,IF(AND(YEAR(DubNe1+28)=KalendářníRok,MONTH(DubNe1+28)=4),DubNe1+28,""),IF(AND(YEAR(DubNe1+35)=KalendářníRok,MONTH(DubNe1+35)=4),DubNe1+35,""))</f>
        <v>43219</v>
      </c>
      <c r="I13" s="3"/>
    </row>
    <row r="14" spans="1:18" ht="64.5" customHeight="1" x14ac:dyDescent="0.25">
      <c r="A14"/>
      <c r="B14" s="8"/>
      <c r="C14" s="8" t="s">
        <v>22</v>
      </c>
      <c r="D14" s="8" t="s">
        <v>17</v>
      </c>
      <c r="E14" s="8" t="s">
        <v>23</v>
      </c>
      <c r="F14" s="8" t="s">
        <v>24</v>
      </c>
      <c r="G14" s="9"/>
      <c r="H14" s="9"/>
      <c r="I14" s="3"/>
    </row>
    <row r="15" spans="1:18" ht="15" customHeight="1" x14ac:dyDescent="0.25">
      <c r="A15"/>
      <c r="B15" s="18">
        <f>IF(DAY(DubNe1)=1,IF(AND(YEAR(DubNe1+29)=KalendářníRok,MONTH(DubNe1+29)=4),DubNe1+29,""),IF(AND(YEAR(DubNe1+36)=KalendářníRok,MONTH(DubNe1+36)=4),DubNe1+36,""))</f>
        <v>43220</v>
      </c>
      <c r="C15" s="19" t="str">
        <f>IF(DAY(DubNe1)=1,IF(AND(YEAR(DubNe1+30)=KalendářníRok,MONTH(DubNe1+30)=4),DubNe1+30,""),IF(AND(YEAR(DubNe1+37)=KalendářníRok,MONTH(DubNe1+37)=4),DubNe1+37,""))</f>
        <v/>
      </c>
      <c r="D15" s="33" t="s">
        <v>7</v>
      </c>
      <c r="E15" s="34"/>
      <c r="F15" s="34"/>
      <c r="G15" s="34"/>
      <c r="H15" s="35"/>
      <c r="I15" s="3"/>
    </row>
    <row r="16" spans="1:18" ht="64.5" customHeight="1" x14ac:dyDescent="0.25">
      <c r="A16"/>
      <c r="B16" s="10"/>
      <c r="C16" s="10"/>
      <c r="D16" s="30" t="s">
        <v>19</v>
      </c>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8" orientation="landscape" horizontalDpi="360" verticalDpi="360"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4.9989318521683403E-2"/>
    <pageSetUpPr fitToPage="1"/>
  </sheetPr>
  <dimension ref="A1:R20"/>
  <sheetViews>
    <sheetView showGridLines="0" topLeftCell="A7" zoomScaleNormal="100" workbookViewId="0">
      <selection activeCell="E17" sqref="E17:F19"/>
    </sheetView>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UPPER(TEXT(DATE(KalendářníRok,5,1),"mmmm rrrr"))</f>
        <v>KVĚTEN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IF(DAY(KvětNe1)=1,"",IF(AND(YEAR(KvětNe1+1)=KalendářníRok,MONTH(KvětNe1+1)=5),KvětNe1+1,""))</f>
        <v/>
      </c>
      <c r="C5" s="15">
        <f>IF(DAY(KvětNe1)=1,"",IF(AND(YEAR(KvětNe1+2)=KalendářníRok,MONTH(KvětNe1+2)=5),KvětNe1+2,""))</f>
        <v>43221</v>
      </c>
      <c r="D5" s="15">
        <f>IF(DAY(KvětNe1)=1,"",IF(AND(YEAR(KvětNe1+3)=KalendářníRok,MONTH(KvětNe1+3)=5),KvětNe1+3,""))</f>
        <v>43222</v>
      </c>
      <c r="E5" s="15">
        <f>IF(DAY(KvětNe1)=1,"",IF(AND(YEAR(KvětNe1+4)=KalendářníRok,MONTH(KvětNe1+4)=5),KvětNe1+4,""))</f>
        <v>43223</v>
      </c>
      <c r="F5" s="15">
        <f>IF(DAY(KvětNe1)=1,"",IF(AND(YEAR(KvětNe1+5)=KalendářníRok,MONTH(KvětNe1+5)=5),KvětNe1+5,""))</f>
        <v>43224</v>
      </c>
      <c r="G5" s="15">
        <f>IF(DAY(KvětNe1)=1,"",IF(AND(YEAR(KvětNe1+6)=KalendářníRok,MONTH(KvětNe1+6)=5),KvětNe1+6,""))</f>
        <v>43225</v>
      </c>
      <c r="H5" s="15">
        <f>IF(DAY(KvětNe1)=1,IF(AND(YEAR(KvětNe1)=KalendářníRok,MONTH(KvětNe1)=5),KvětNe1,""),IF(AND(YEAR(KvětNe1+7)=KalendářníRok,MONTH(KvětNe1+7)=5),KvětNe1+7,""))</f>
        <v>43226</v>
      </c>
      <c r="I5" s="3"/>
      <c r="K5" s="1"/>
      <c r="L5" s="1"/>
      <c r="M5" s="1"/>
      <c r="Q5" s="2"/>
      <c r="R5" s="1"/>
    </row>
    <row r="6" spans="1:18" s="2" customFormat="1" ht="64.5" customHeight="1" x14ac:dyDescent="0.25">
      <c r="A6"/>
      <c r="B6" s="8" t="s">
        <v>25</v>
      </c>
      <c r="C6" s="8"/>
      <c r="D6" s="8" t="s">
        <v>26</v>
      </c>
      <c r="E6" s="8" t="s">
        <v>27</v>
      </c>
      <c r="F6" s="8" t="s">
        <v>28</v>
      </c>
      <c r="G6" s="9"/>
      <c r="H6" s="9"/>
      <c r="I6" s="3"/>
    </row>
    <row r="7" spans="1:18" ht="15" customHeight="1" x14ac:dyDescent="0.25">
      <c r="A7"/>
      <c r="B7" s="16">
        <f>IF(DAY(KvětNe1)=1,IF(AND(YEAR(KvětNe1+1)=KalendářníRok,MONTH(KvětNe1+1)=5),KvětNe1+1,""),IF(AND(YEAR(KvětNe1+8)=KalendářníRok,MONTH(KvětNe1+8)=5),KvětNe1+8,""))</f>
        <v>43227</v>
      </c>
      <c r="C7" s="16">
        <f>IF(DAY(KvětNe1)=1,IF(AND(YEAR(KvětNe1+2)=KalendářníRok,MONTH(KvětNe1+2)=5),KvětNe1+2,""),IF(AND(YEAR(KvětNe1+9)=KalendářníRok,MONTH(KvětNe1+9)=5),KvětNe1+9,""))</f>
        <v>43228</v>
      </c>
      <c r="D7" s="16">
        <f>IF(DAY(KvětNe1)=1,IF(AND(YEAR(KvětNe1+3)=KalendářníRok,MONTH(KvětNe1+3)=5),KvětNe1+3,""),IF(AND(YEAR(KvětNe1+10)=KalendářníRok,MONTH(KvětNe1+10)=5),KvětNe1+10,""))</f>
        <v>43229</v>
      </c>
      <c r="E7" s="16">
        <f>IF(DAY(KvětNe1)=1,IF(AND(YEAR(KvětNe1+4)=KalendářníRok,MONTH(KvětNe1+4)=5),KvětNe1+4,""),IF(AND(YEAR(KvětNe1+11)=KalendářníRok,MONTH(KvětNe1+11)=5),KvětNe1+11,""))</f>
        <v>43230</v>
      </c>
      <c r="F7" s="16">
        <f>IF(DAY(KvětNe1)=1,IF(AND(YEAR(KvětNe1+5)=KalendářníRok,MONTH(KvětNe1+5)=5),KvětNe1+5,""),IF(AND(YEAR(KvětNe1+12)=KalendářníRok,MONTH(KvětNe1+12)=5),KvětNe1+12,""))</f>
        <v>43231</v>
      </c>
      <c r="G7" s="16">
        <f>IF(DAY(KvětNe1)=1,IF(AND(YEAR(KvětNe1+6)=KalendářníRok,MONTH(KvětNe1+6)=5),KvětNe1+6,""),IF(AND(YEAR(KvětNe1+13)=KalendářníRok,MONTH(KvětNe1+13)=5),KvětNe1+13,""))</f>
        <v>43232</v>
      </c>
      <c r="H7" s="16">
        <f>IF(DAY(KvětNe1)=1,IF(AND(YEAR(KvětNe1+7)=KalendářníRok,MONTH(KvětNe1+7)=5),KvětNe1+7,""),IF(AND(YEAR(KvětNe1+14)=KalendářníRok,MONTH(KvětNe1+14)=5),KvětNe1+14,""))</f>
        <v>43233</v>
      </c>
      <c r="I7" s="3"/>
    </row>
    <row r="8" spans="1:18" ht="64.5" customHeight="1" x14ac:dyDescent="0.25">
      <c r="A8"/>
      <c r="B8" s="10" t="s">
        <v>25</v>
      </c>
      <c r="C8" s="10"/>
      <c r="D8" s="10" t="s">
        <v>31</v>
      </c>
      <c r="E8" s="10"/>
      <c r="F8" s="10" t="s">
        <v>37</v>
      </c>
      <c r="G8" s="11"/>
      <c r="H8" s="11" t="s">
        <v>32</v>
      </c>
      <c r="I8" s="3"/>
    </row>
    <row r="9" spans="1:18" ht="15" customHeight="1" x14ac:dyDescent="0.25">
      <c r="A9"/>
      <c r="B9" s="17">
        <f>IF(DAY(KvětNe1)=1,IF(AND(YEAR(KvětNe1+8)=KalendářníRok,MONTH(KvětNe1+8)=5),KvětNe1+8,""),IF(AND(YEAR(KvětNe1+15)=KalendářníRok,MONTH(KvětNe1+15)=5),KvětNe1+15,""))</f>
        <v>43234</v>
      </c>
      <c r="C9" s="17">
        <f>IF(DAY(KvětNe1)=1,IF(AND(YEAR(KvětNe1+9)=KalendářníRok,MONTH(KvětNe1+9)=5),KvětNe1+9,""),IF(AND(YEAR(KvětNe1+16)=KalendářníRok,MONTH(KvětNe1+16)=5),KvětNe1+16,""))</f>
        <v>43235</v>
      </c>
      <c r="D9" s="17">
        <f>IF(DAY(KvětNe1)=1,IF(AND(YEAR(KvětNe1+10)=KalendářníRok,MONTH(KvětNe1+10)=5),KvětNe1+10,""),IF(AND(YEAR(KvětNe1+17)=KalendářníRok,MONTH(KvětNe1+17)=5),KvětNe1+17,""))</f>
        <v>43236</v>
      </c>
      <c r="E9" s="17">
        <f>IF(DAY(KvětNe1)=1,IF(AND(YEAR(KvětNe1+11)=KalendářníRok,MONTH(KvětNe1+11)=5),KvětNe1+11,""),IF(AND(YEAR(KvětNe1+18)=KalendářníRok,MONTH(KvětNe1+18)=5),KvětNe1+18,""))</f>
        <v>43237</v>
      </c>
      <c r="F9" s="17">
        <f>IF(DAY(KvětNe1)=1,IF(AND(YEAR(KvětNe1+12)=KalendářníRok,MONTH(KvětNe1+12)=5),KvětNe1+12,""),IF(AND(YEAR(KvětNe1+19)=KalendářníRok,MONTH(KvětNe1+19)=5),KvětNe1+19,""))</f>
        <v>43238</v>
      </c>
      <c r="G9" s="17">
        <f>IF(DAY(KvětNe1)=1,IF(AND(YEAR(KvětNe1+13)=KalendářníRok,MONTH(KvětNe1+13)=5),KvětNe1+13,""),IF(AND(YEAR(KvětNe1+20)=KalendářníRok,MONTH(KvětNe1+20)=5),KvětNe1+20,""))</f>
        <v>43239</v>
      </c>
      <c r="H9" s="17">
        <f>IF(DAY(KvětNe1)=1,IF(AND(YEAR(KvětNe1+14)=KalendářníRok,MONTH(KvětNe1+14)=5),KvětNe1+14,""),IF(AND(YEAR(KvětNe1+21)=KalendářníRok,MONTH(KvětNe1+21)=5),KvětNe1+21,""))</f>
        <v>43240</v>
      </c>
      <c r="I9" s="3"/>
    </row>
    <row r="10" spans="1:18" ht="64.5" customHeight="1" x14ac:dyDescent="0.25">
      <c r="A10"/>
      <c r="B10" s="8"/>
      <c r="C10" s="8"/>
      <c r="D10" s="8"/>
      <c r="E10" s="8" t="s">
        <v>33</v>
      </c>
      <c r="F10" s="8" t="s">
        <v>29</v>
      </c>
      <c r="G10" s="9"/>
      <c r="H10" s="9"/>
      <c r="I10" s="3"/>
    </row>
    <row r="11" spans="1:18" ht="15" customHeight="1" x14ac:dyDescent="0.25">
      <c r="A11"/>
      <c r="B11" s="18">
        <f>IF(DAY(KvětNe1)=1,IF(AND(YEAR(KvětNe1+15)=KalendářníRok,MONTH(KvětNe1+15)=5),KvětNe1+15,""),IF(AND(YEAR(KvětNe1+22)=KalendářníRok,MONTH(KvětNe1+22)=5),KvětNe1+22,""))</f>
        <v>43241</v>
      </c>
      <c r="C11" s="18">
        <f>IF(DAY(KvětNe1)=1,IF(AND(YEAR(KvětNe1+16)=KalendářníRok,MONTH(KvětNe1+16)=5),KvětNe1+16,""),IF(AND(YEAR(KvětNe1+23)=KalendářníRok,MONTH(KvětNe1+23)=5),KvětNe1+23,""))</f>
        <v>43242</v>
      </c>
      <c r="D11" s="18">
        <f>IF(DAY(KvětNe1)=1,IF(AND(YEAR(KvětNe1+17)=KalendářníRok,MONTH(KvětNe1+17)=5),KvětNe1+17,""),IF(AND(YEAR(KvětNe1+24)=KalendářníRok,MONTH(KvětNe1+24)=5),KvětNe1+24,""))</f>
        <v>43243</v>
      </c>
      <c r="E11" s="18">
        <f>IF(DAY(KvětNe1)=1,IF(AND(YEAR(KvětNe1+18)=KalendářníRok,MONTH(KvětNe1+18)=5),KvětNe1+18,""),IF(AND(YEAR(KvětNe1+25)=KalendářníRok,MONTH(KvětNe1+25)=5),KvětNe1+25,""))</f>
        <v>43244</v>
      </c>
      <c r="F11" s="18">
        <f>IF(DAY(KvětNe1)=1,IF(AND(YEAR(KvětNe1+19)=KalendářníRok,MONTH(KvětNe1+19)=5),KvětNe1+19,""),IF(AND(YEAR(KvětNe1+26)=KalendářníRok,MONTH(KvětNe1+26)=5),KvětNe1+26,""))</f>
        <v>43245</v>
      </c>
      <c r="G11" s="18">
        <f>IF(DAY(KvětNe1)=1,IF(AND(YEAR(KvětNe1+20)=KalendářníRok,MONTH(KvětNe1+20)=5),KvětNe1+20,""),IF(AND(YEAR(KvětNe1+27)=KalendářníRok,MONTH(KvětNe1+27)=5),KvětNe1+27,""))</f>
        <v>43246</v>
      </c>
      <c r="H11" s="18">
        <f>IF(DAY(KvětNe1)=1,IF(AND(YEAR(KvětNe1+21)=KalendářníRok,MONTH(KvětNe1+21)=5),KvětNe1+21,""),IF(AND(YEAR(KvětNe1+28)=KalendářníRok,MONTH(KvětNe1+28)=5),KvětNe1+28,""))</f>
        <v>43247</v>
      </c>
      <c r="I11" s="3"/>
    </row>
    <row r="12" spans="1:18" ht="64.5" customHeight="1" x14ac:dyDescent="0.25">
      <c r="A12"/>
      <c r="B12" s="10"/>
      <c r="C12" s="10" t="s">
        <v>34</v>
      </c>
      <c r="D12" s="10"/>
      <c r="E12" s="10"/>
      <c r="F12" s="10" t="s">
        <v>30</v>
      </c>
      <c r="G12" s="11"/>
      <c r="H12" s="11"/>
      <c r="I12" s="3"/>
    </row>
    <row r="13" spans="1:18" ht="15" customHeight="1" x14ac:dyDescent="0.25">
      <c r="A13"/>
      <c r="B13" s="17">
        <f>IF(DAY(KvětNe1)=1,IF(AND(YEAR(KvětNe1+22)=KalendářníRok,MONTH(KvětNe1+22)=5),KvětNe1+22,""),IF(AND(YEAR(KvětNe1+29)=KalendářníRok,MONTH(KvětNe1+29)=5),KvětNe1+29,""))</f>
        <v>43248</v>
      </c>
      <c r="C13" s="17">
        <f>IF(DAY(KvětNe1)=1,IF(AND(YEAR(KvětNe1+23)=KalendářníRok,MONTH(KvětNe1+23)=5),KvětNe1+23,""),IF(AND(YEAR(KvětNe1+30)=KalendářníRok,MONTH(KvětNe1+30)=5),KvětNe1+30,""))</f>
        <v>43249</v>
      </c>
      <c r="D13" s="17">
        <f>IF(DAY(KvětNe1)=1,IF(AND(YEAR(KvětNe1+24)=KalendářníRok,MONTH(KvětNe1+24)=5),KvětNe1+24,""),IF(AND(YEAR(KvětNe1+31)=KalendářníRok,MONTH(KvětNe1+31)=5),KvětNe1+31,""))</f>
        <v>43250</v>
      </c>
      <c r="E13" s="17">
        <f>IF(DAY(KvětNe1)=1,IF(AND(YEAR(KvětNe1+25)=KalendářníRok,MONTH(KvětNe1+25)=5),KvětNe1+25,""),IF(AND(YEAR(KvětNe1+32)=KalendářníRok,MONTH(KvětNe1+32)=5),KvětNe1+32,""))</f>
        <v>43251</v>
      </c>
      <c r="F13" s="17" t="str">
        <f>IF(DAY(KvětNe1)=1,IF(AND(YEAR(KvětNe1+26)=KalendářníRok,MONTH(KvětNe1+26)=5),KvětNe1+26,""),IF(AND(YEAR(KvětNe1+33)=KalendářníRok,MONTH(KvětNe1+33)=5),KvětNe1+33,""))</f>
        <v/>
      </c>
      <c r="G13" s="17" t="str">
        <f>IF(DAY(KvětNe1)=1,IF(AND(YEAR(KvětNe1+27)=KalendářníRok,MONTH(KvětNe1+27)=5),KvětNe1+27,""),IF(AND(YEAR(KvětNe1+34)=KalendářníRok,MONTH(KvětNe1+34)=5),KvětNe1+34,""))</f>
        <v/>
      </c>
      <c r="H13" s="17" t="str">
        <f>IF(DAY(KvětNe1)=1,IF(AND(YEAR(KvětNe1+28)=KalendářníRok,MONTH(KvětNe1+28)=5),KvětNe1+28,""),IF(AND(YEAR(KvětNe1+35)=KalendářníRok,MONTH(KvětNe1+35)=5),KvětNe1+35,""))</f>
        <v/>
      </c>
      <c r="I13" s="3"/>
    </row>
    <row r="14" spans="1:18" ht="64.5" customHeight="1" x14ac:dyDescent="0.25">
      <c r="A14"/>
      <c r="B14" s="8"/>
      <c r="C14" s="8"/>
      <c r="D14" s="8" t="s">
        <v>35</v>
      </c>
      <c r="E14" s="8"/>
      <c r="F14" s="8"/>
      <c r="G14" s="9"/>
      <c r="H14" s="9"/>
      <c r="I14" s="3"/>
    </row>
    <row r="15" spans="1:18" ht="15" customHeight="1" x14ac:dyDescent="0.25">
      <c r="A15"/>
      <c r="B15" s="18" t="str">
        <f>IF(DAY(KvětNe1)=1,IF(AND(YEAR(KvětNe1+29)=KalendářníRok,MONTH(KvětNe1+29)=5),KvětNe1+29,""),IF(AND(YEAR(KvětNe1+36)=KalendářníRok,MONTH(KvětNe1+36)=5),KvětNe1+36,""))</f>
        <v/>
      </c>
      <c r="C15" s="19" t="str">
        <f>IF(DAY(KvětNe1)=1,IF(AND(YEAR(KvětNe1+30)=KalendářníRok,MONTH(KvětNe1+30)=5),KvětNe1+30,""),IF(AND(YEAR(KvětNe1+37)=KalendářníRok,MONTH(KvětNe1+37)=5),KvětNe1+37,""))</f>
        <v/>
      </c>
      <c r="D15" s="33" t="s">
        <v>7</v>
      </c>
      <c r="E15" s="34"/>
      <c r="F15" s="34"/>
      <c r="G15" s="34"/>
      <c r="H15" s="35"/>
      <c r="I15" s="3"/>
    </row>
    <row r="16" spans="1:18" ht="64.5" customHeight="1" x14ac:dyDescent="0.25">
      <c r="A16"/>
      <c r="B16" s="10"/>
      <c r="C16" s="10"/>
      <c r="D16" s="30" t="s">
        <v>36</v>
      </c>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8" orientation="landscape" horizontalDpi="360" verticalDpi="360"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pageSetUpPr fitToPage="1"/>
  </sheetPr>
  <dimension ref="A1:R20"/>
  <sheetViews>
    <sheetView showGridLines="0" zoomScaleNormal="100" workbookViewId="0"/>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UPPER(TEXT(DATE(KalendářníRok,6,1),"mmmm rrrr"))</f>
        <v>ČERVEN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IF(DAY(ČerNe1)=1,"",IF(AND(YEAR(ČerNe1+1)=KalendářníRok,MONTH(ČerNe1+1)=6),ČerNe1+1,""))</f>
        <v/>
      </c>
      <c r="C5" s="15" t="str">
        <f>IF(DAY(ČerNe1)=1,"",IF(AND(YEAR(ČerNe1+2)=KalendářníRok,MONTH(ČerNe1+2)=6),ČerNe1+2,""))</f>
        <v/>
      </c>
      <c r="D5" s="15" t="str">
        <f>IF(DAY(ČerNe1)=1,"",IF(AND(YEAR(ČerNe1+3)=KalendářníRok,MONTH(ČerNe1+3)=6),ČerNe1+3,""))</f>
        <v/>
      </c>
      <c r="E5" s="15" t="str">
        <f>IF(DAY(ČerNe1)=1,"",IF(AND(YEAR(ČerNe1+4)=KalendářníRok,MONTH(ČerNe1+4)=6),ČerNe1+4,""))</f>
        <v/>
      </c>
      <c r="F5" s="15">
        <f>IF(DAY(ČerNe1)=1,"",IF(AND(YEAR(ČerNe1+5)=KalendářníRok,MONTH(ČerNe1+5)=6),ČerNe1+5,""))</f>
        <v>43252</v>
      </c>
      <c r="G5" s="15">
        <f>IF(DAY(ČerNe1)=1,"",IF(AND(YEAR(ČerNe1+6)=KalendářníRok,MONTH(ČerNe1+6)=6),ČerNe1+6,""))</f>
        <v>43253</v>
      </c>
      <c r="H5" s="15">
        <f>IF(DAY(ČerNe1)=1,IF(AND(YEAR(ČerNe1)=KalendářníRok,MONTH(ČerNe1)=6),ČerNe1,""),IF(AND(YEAR(ČerNe1+7)=KalendářníRok,MONTH(ČerNe1+7)=6),ČerNe1+7,""))</f>
        <v>43254</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f>IF(DAY(ČerNe1)=1,IF(AND(YEAR(ČerNe1+1)=KalendářníRok,MONTH(ČerNe1+1)=6),ČerNe1+1,""),IF(AND(YEAR(ČerNe1+8)=KalendářníRok,MONTH(ČerNe1+8)=6),ČerNe1+8,""))</f>
        <v>43255</v>
      </c>
      <c r="C7" s="16">
        <f>IF(DAY(ČerNe1)=1,IF(AND(YEAR(ČerNe1+2)=KalendářníRok,MONTH(ČerNe1+2)=6),ČerNe1+2,""),IF(AND(YEAR(ČerNe1+9)=KalendářníRok,MONTH(ČerNe1+9)=6),ČerNe1+9,""))</f>
        <v>43256</v>
      </c>
      <c r="D7" s="16">
        <f>IF(DAY(ČerNe1)=1,IF(AND(YEAR(ČerNe1+3)=KalendářníRok,MONTH(ČerNe1+3)=6),ČerNe1+3,""),IF(AND(YEAR(ČerNe1+10)=KalendářníRok,MONTH(ČerNe1+10)=6),ČerNe1+10,""))</f>
        <v>43257</v>
      </c>
      <c r="E7" s="16">
        <f>IF(DAY(ČerNe1)=1,IF(AND(YEAR(ČerNe1+4)=KalendářníRok,MONTH(ČerNe1+4)=6),ČerNe1+4,""),IF(AND(YEAR(ČerNe1+11)=KalendářníRok,MONTH(ČerNe1+11)=6),ČerNe1+11,""))</f>
        <v>43258</v>
      </c>
      <c r="F7" s="16">
        <f>IF(DAY(ČerNe1)=1,IF(AND(YEAR(ČerNe1+5)=KalendářníRok,MONTH(ČerNe1+5)=6),ČerNe1+5,""),IF(AND(YEAR(ČerNe1+12)=KalendářníRok,MONTH(ČerNe1+12)=6),ČerNe1+12,""))</f>
        <v>43259</v>
      </c>
      <c r="G7" s="16">
        <f>IF(DAY(ČerNe1)=1,IF(AND(YEAR(ČerNe1+6)=KalendářníRok,MONTH(ČerNe1+6)=6),ČerNe1+6,""),IF(AND(YEAR(ČerNe1+13)=KalendářníRok,MONTH(ČerNe1+13)=6),ČerNe1+13,""))</f>
        <v>43260</v>
      </c>
      <c r="H7" s="16">
        <f>IF(DAY(ČerNe1)=1,IF(AND(YEAR(ČerNe1+7)=KalendářníRok,MONTH(ČerNe1+7)=6),ČerNe1+7,""),IF(AND(YEAR(ČerNe1+14)=KalendářníRok,MONTH(ČerNe1+14)=6),ČerNe1+14,""))</f>
        <v>43261</v>
      </c>
      <c r="I7" s="3"/>
    </row>
    <row r="8" spans="1:18" ht="64.5" customHeight="1" x14ac:dyDescent="0.25">
      <c r="A8"/>
      <c r="B8" s="10"/>
      <c r="C8" s="10"/>
      <c r="D8" s="10"/>
      <c r="E8" s="10"/>
      <c r="F8" s="10"/>
      <c r="G8" s="11"/>
      <c r="H8" s="11"/>
      <c r="I8" s="3"/>
    </row>
    <row r="9" spans="1:18" ht="15" customHeight="1" x14ac:dyDescent="0.25">
      <c r="A9"/>
      <c r="B9" s="17">
        <f>IF(DAY(ČerNe1)=1,IF(AND(YEAR(ČerNe1+8)=KalendářníRok,MONTH(ČerNe1+8)=6),ČerNe1+8,""),IF(AND(YEAR(ČerNe1+15)=KalendářníRok,MONTH(ČerNe1+15)=6),ČerNe1+15,""))</f>
        <v>43262</v>
      </c>
      <c r="C9" s="17">
        <f>IF(DAY(ČerNe1)=1,IF(AND(YEAR(ČerNe1+9)=KalendářníRok,MONTH(ČerNe1+9)=6),ČerNe1+9,""),IF(AND(YEAR(ČerNe1+16)=KalendářníRok,MONTH(ČerNe1+16)=6),ČerNe1+16,""))</f>
        <v>43263</v>
      </c>
      <c r="D9" s="17">
        <f>IF(DAY(ČerNe1)=1,IF(AND(YEAR(ČerNe1+10)=KalendářníRok,MONTH(ČerNe1+10)=6),ČerNe1+10,""),IF(AND(YEAR(ČerNe1+17)=KalendářníRok,MONTH(ČerNe1+17)=6),ČerNe1+17,""))</f>
        <v>43264</v>
      </c>
      <c r="E9" s="17">
        <f>IF(DAY(ČerNe1)=1,IF(AND(YEAR(ČerNe1+11)=KalendářníRok,MONTH(ČerNe1+11)=6),ČerNe1+11,""),IF(AND(YEAR(ČerNe1+18)=KalendářníRok,MONTH(ČerNe1+18)=6),ČerNe1+18,""))</f>
        <v>43265</v>
      </c>
      <c r="F9" s="17">
        <f>IF(DAY(ČerNe1)=1,IF(AND(YEAR(ČerNe1+12)=KalendářníRok,MONTH(ČerNe1+12)=6),ČerNe1+12,""),IF(AND(YEAR(ČerNe1+19)=KalendářníRok,MONTH(ČerNe1+19)=6),ČerNe1+19,""))</f>
        <v>43266</v>
      </c>
      <c r="G9" s="17">
        <f>IF(DAY(ČerNe1)=1,IF(AND(YEAR(ČerNe1+13)=KalendářníRok,MONTH(ČerNe1+13)=6),ČerNe1+13,""),IF(AND(YEAR(ČerNe1+20)=KalendářníRok,MONTH(ČerNe1+20)=6),ČerNe1+20,""))</f>
        <v>43267</v>
      </c>
      <c r="H9" s="17">
        <f>IF(DAY(ČerNe1)=1,IF(AND(YEAR(ČerNe1+14)=KalendářníRok,MONTH(ČerNe1+14)=6),ČerNe1+14,""),IF(AND(YEAR(ČerNe1+21)=KalendářníRok,MONTH(ČerNe1+21)=6),ČerNe1+21,""))</f>
        <v>43268</v>
      </c>
      <c r="I9" s="3"/>
    </row>
    <row r="10" spans="1:18" ht="64.5" customHeight="1" x14ac:dyDescent="0.25">
      <c r="A10"/>
      <c r="B10" s="8"/>
      <c r="C10" s="8"/>
      <c r="D10" s="8"/>
      <c r="E10" s="8"/>
      <c r="F10" s="8"/>
      <c r="G10" s="9"/>
      <c r="H10" s="9"/>
      <c r="I10" s="3"/>
    </row>
    <row r="11" spans="1:18" ht="15" customHeight="1" x14ac:dyDescent="0.25">
      <c r="A11"/>
      <c r="B11" s="18">
        <f>IF(DAY(ČerNe1)=1,IF(AND(YEAR(ČerNe1+15)=KalendářníRok,MONTH(ČerNe1+15)=6),ČerNe1+15,""),IF(AND(YEAR(ČerNe1+22)=KalendářníRok,MONTH(ČerNe1+22)=6),ČerNe1+22,""))</f>
        <v>43269</v>
      </c>
      <c r="C11" s="18">
        <f>IF(DAY(ČerNe1)=1,IF(AND(YEAR(ČerNe1+16)=KalendářníRok,MONTH(ČerNe1+16)=6),ČerNe1+16,""),IF(AND(YEAR(ČerNe1+23)=KalendářníRok,MONTH(ČerNe1+23)=6),ČerNe1+23,""))</f>
        <v>43270</v>
      </c>
      <c r="D11" s="18">
        <f>IF(DAY(ČerNe1)=1,IF(AND(YEAR(ČerNe1+17)=KalendářníRok,MONTH(ČerNe1+17)=6),ČerNe1+17,""),IF(AND(YEAR(ČerNe1+24)=KalendářníRok,MONTH(ČerNe1+24)=6),ČerNe1+24,""))</f>
        <v>43271</v>
      </c>
      <c r="E11" s="18">
        <f>IF(DAY(ČerNe1)=1,IF(AND(YEAR(ČerNe1+18)=KalendářníRok,MONTH(ČerNe1+18)=6),ČerNe1+18,""),IF(AND(YEAR(ČerNe1+25)=KalendářníRok,MONTH(ČerNe1+25)=6),ČerNe1+25,""))</f>
        <v>43272</v>
      </c>
      <c r="F11" s="18">
        <f>IF(DAY(ČerNe1)=1,IF(AND(YEAR(ČerNe1+19)=KalendářníRok,MONTH(ČerNe1+19)=6),ČerNe1+19,""),IF(AND(YEAR(ČerNe1+26)=KalendářníRok,MONTH(ČerNe1+26)=6),ČerNe1+26,""))</f>
        <v>43273</v>
      </c>
      <c r="G11" s="18">
        <f>IF(DAY(ČerNe1)=1,IF(AND(YEAR(ČerNe1+20)=KalendářníRok,MONTH(ČerNe1+20)=6),ČerNe1+20,""),IF(AND(YEAR(ČerNe1+27)=KalendářníRok,MONTH(ČerNe1+27)=6),ČerNe1+27,""))</f>
        <v>43274</v>
      </c>
      <c r="H11" s="18">
        <f>IF(DAY(ČerNe1)=1,IF(AND(YEAR(ČerNe1+21)=KalendářníRok,MONTH(ČerNe1+21)=6),ČerNe1+21,""),IF(AND(YEAR(ČerNe1+28)=KalendářníRok,MONTH(ČerNe1+28)=6),ČerNe1+28,""))</f>
        <v>43275</v>
      </c>
      <c r="I11" s="3"/>
    </row>
    <row r="12" spans="1:18" ht="64.5" customHeight="1" x14ac:dyDescent="0.25">
      <c r="A12"/>
      <c r="B12" s="10"/>
      <c r="C12" s="10"/>
      <c r="D12" s="10"/>
      <c r="E12" s="10"/>
      <c r="F12" s="10"/>
      <c r="G12" s="11"/>
      <c r="H12" s="11"/>
      <c r="I12" s="3"/>
    </row>
    <row r="13" spans="1:18" ht="15" customHeight="1" x14ac:dyDescent="0.25">
      <c r="A13"/>
      <c r="B13" s="17">
        <f>IF(DAY(ČerNe1)=1,IF(AND(YEAR(ČerNe1+22)=KalendářníRok,MONTH(ČerNe1+22)=6),ČerNe1+22,""),IF(AND(YEAR(ČerNe1+29)=KalendářníRok,MONTH(ČerNe1+29)=6),ČerNe1+29,""))</f>
        <v>43276</v>
      </c>
      <c r="C13" s="17">
        <f>IF(DAY(ČerNe1)=1,IF(AND(YEAR(ČerNe1+23)=KalendářníRok,MONTH(ČerNe1+23)=6),ČerNe1+23,""),IF(AND(YEAR(ČerNe1+30)=KalendářníRok,MONTH(ČerNe1+30)=6),ČerNe1+30,""))</f>
        <v>43277</v>
      </c>
      <c r="D13" s="17">
        <f>IF(DAY(ČerNe1)=1,IF(AND(YEAR(ČerNe1+24)=KalendářníRok,MONTH(ČerNe1+24)=6),ČerNe1+24,""),IF(AND(YEAR(ČerNe1+31)=KalendářníRok,MONTH(ČerNe1+31)=6),ČerNe1+31,""))</f>
        <v>43278</v>
      </c>
      <c r="E13" s="17">
        <f>IF(DAY(ČerNe1)=1,IF(AND(YEAR(ČerNe1+25)=KalendářníRok,MONTH(ČerNe1+25)=6),ČerNe1+25,""),IF(AND(YEAR(ČerNe1+32)=KalendářníRok,MONTH(ČerNe1+32)=6),ČerNe1+32,""))</f>
        <v>43279</v>
      </c>
      <c r="F13" s="17">
        <f>IF(DAY(ČerNe1)=1,IF(AND(YEAR(ČerNe1+26)=KalendářníRok,MONTH(ČerNe1+26)=6),ČerNe1+26,""),IF(AND(YEAR(ČerNe1+33)=KalendářníRok,MONTH(ČerNe1+33)=6),ČerNe1+33,""))</f>
        <v>43280</v>
      </c>
      <c r="G13" s="17">
        <f>IF(DAY(ČerNe1)=1,IF(AND(YEAR(ČerNe1+27)=KalendářníRok,MONTH(ČerNe1+27)=6),ČerNe1+27,""),IF(AND(YEAR(ČerNe1+34)=KalendářníRok,MONTH(ČerNe1+34)=6),ČerNe1+34,""))</f>
        <v>43281</v>
      </c>
      <c r="H13" s="17" t="str">
        <f>IF(DAY(ČerNe1)=1,IF(AND(YEAR(ČerNe1+28)=KalendářníRok,MONTH(ČerNe1+28)=6),ČerNe1+28,""),IF(AND(YEAR(ČerNe1+35)=KalendářníRok,MONTH(ČerNe1+35)=6),ČerNe1+35,""))</f>
        <v/>
      </c>
      <c r="I13" s="3"/>
    </row>
    <row r="14" spans="1:18" ht="64.5" customHeight="1" x14ac:dyDescent="0.25">
      <c r="A14"/>
      <c r="B14" s="8"/>
      <c r="C14" s="8"/>
      <c r="D14" s="8"/>
      <c r="E14" s="8"/>
      <c r="F14" s="8"/>
      <c r="G14" s="9"/>
      <c r="H14" s="9"/>
      <c r="I14" s="3"/>
    </row>
    <row r="15" spans="1:18" ht="15" customHeight="1" x14ac:dyDescent="0.25">
      <c r="A15"/>
      <c r="B15" s="18" t="str">
        <f>IF(DAY(ČerNe1)=1,IF(AND(YEAR(ČerNe1+29)=KalendářníRok,MONTH(ČerNe1+29)=6),ČerNe1+29,""),IF(AND(YEAR(ČerNe1+36)=KalendářníRok,MONTH(ČerNe1+36)=6),ČerNe1+36,""))</f>
        <v/>
      </c>
      <c r="C15" s="19" t="str">
        <f>IF(DAY(ČerNe1)=1,IF(AND(YEAR(ČerNe1+30)=KalendářníRok,MONTH(ČerNe1+30)=6),ČerNe1+30,""),IF(AND(YEAR(ČerNe1+37)=KalendářníRok,MONTH(ČerNe1+37)=6),ČerNe1+37,""))</f>
        <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3"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34998626667073579"/>
    <pageSetUpPr fitToPage="1"/>
  </sheetPr>
  <dimension ref="A1:R20"/>
  <sheetViews>
    <sheetView showGridLines="0" zoomScaleNormal="100" workbookViewId="0"/>
  </sheetViews>
  <sheetFormatPr defaultColWidth="6.6640625" defaultRowHeight="14.25" x14ac:dyDescent="0.2"/>
  <cols>
    <col min="1" max="1" width="3.109375" style="1" customWidth="1"/>
    <col min="2" max="9" width="13.77734375" style="1" customWidth="1"/>
    <col min="10" max="10" width="12.6640625" style="1" customWidth="1"/>
    <col min="11" max="11" width="2.109375" style="1" customWidth="1"/>
    <col min="12" max="12" width="11.77734375" style="1" customWidth="1"/>
    <col min="13" max="13" width="11.33203125" style="1" customWidth="1"/>
    <col min="14" max="16384" width="6.6640625" style="1"/>
  </cols>
  <sheetData>
    <row r="1" spans="1:18" ht="14.25" customHeight="1" x14ac:dyDescent="0.25">
      <c r="A1"/>
    </row>
    <row r="2" spans="1:18" ht="30" customHeight="1" x14ac:dyDescent="0.25">
      <c r="A2"/>
      <c r="B2" s="20"/>
      <c r="C2" s="20"/>
      <c r="D2" s="20"/>
      <c r="E2" s="20"/>
      <c r="F2" s="20"/>
      <c r="G2" s="20"/>
      <c r="H2" s="20"/>
      <c r="I2" s="20"/>
      <c r="J2" s="20"/>
    </row>
    <row r="3" spans="1:18" ht="62.25" customHeight="1" x14ac:dyDescent="0.25">
      <c r="A3"/>
      <c r="B3" s="36" t="str">
        <f>UPPER(TEXT(DATE(KalendářníRok,7,1),"mmmm rrrr"))</f>
        <v>ČERVENEC 2018</v>
      </c>
      <c r="C3" s="36"/>
      <c r="D3" s="36"/>
      <c r="E3" s="36"/>
      <c r="F3" s="36"/>
    </row>
    <row r="4" spans="1:18" customFormat="1" ht="26.25" customHeight="1" x14ac:dyDescent="0.25">
      <c r="B4" s="12" t="s">
        <v>0</v>
      </c>
      <c r="C4" s="13" t="s">
        <v>1</v>
      </c>
      <c r="D4" s="13" t="s">
        <v>2</v>
      </c>
      <c r="E4" s="13" t="s">
        <v>3</v>
      </c>
      <c r="F4" s="13" t="s">
        <v>4</v>
      </c>
      <c r="G4" s="13" t="s">
        <v>5</v>
      </c>
      <c r="H4" s="14" t="s">
        <v>6</v>
      </c>
      <c r="I4" s="1"/>
      <c r="J4" s="1"/>
      <c r="L4" s="1"/>
      <c r="M4" s="7"/>
      <c r="Q4" s="1"/>
      <c r="R4" s="1"/>
    </row>
    <row r="5" spans="1:18" customFormat="1" ht="15" customHeight="1" x14ac:dyDescent="0.25">
      <c r="B5" s="15" t="str">
        <f>IF(DAY(ČvcNe1)=1,"",IF(AND(YEAR(ČvcNe1+1)=KalendářníRok,MONTH(ČvcNe1+1)=7),ČvcNe1+1,""))</f>
        <v/>
      </c>
      <c r="C5" s="15" t="str">
        <f>IF(DAY(ČvcNe1)=1,"",IF(AND(YEAR(ČvcNe1+2)=KalendářníRok,MONTH(ČvcNe1+2)=7),ČvcNe1+2,""))</f>
        <v/>
      </c>
      <c r="D5" s="15" t="str">
        <f>IF(DAY(ČvcNe1)=1,"",IF(AND(YEAR(ČvcNe1+3)=KalendářníRok,MONTH(ČvcNe1+3)=7),ČvcNe1+3,""))</f>
        <v/>
      </c>
      <c r="E5" s="15" t="str">
        <f>IF(DAY(ČvcNe1)=1,"",IF(AND(YEAR(ČvcNe1+4)=KalendářníRok,MONTH(ČvcNe1+4)=7),ČvcNe1+4,""))</f>
        <v/>
      </c>
      <c r="F5" s="15" t="str">
        <f>IF(DAY(ČvcNe1)=1,"",IF(AND(YEAR(ČvcNe1+5)=KalendářníRok,MONTH(ČvcNe1+5)=7),ČvcNe1+5,""))</f>
        <v/>
      </c>
      <c r="G5" s="15" t="str">
        <f>IF(DAY(ČvcNe1)=1,"",IF(AND(YEAR(ČvcNe1+6)=KalendářníRok,MONTH(ČvcNe1+6)=7),ČvcNe1+6,""))</f>
        <v/>
      </c>
      <c r="H5" s="15">
        <f>IF(DAY(ČvcNe1)=1,IF(AND(YEAR(ČvcNe1)=KalendářníRok,MONTH(ČvcNe1)=7),ČvcNe1,""),IF(AND(YEAR(ČvcNe1+7)=KalendářníRok,MONTH(ČvcNe1+7)=7),ČvcNe1+7,""))</f>
        <v>43282</v>
      </c>
      <c r="I5" s="3"/>
      <c r="K5" s="1"/>
      <c r="L5" s="1"/>
      <c r="M5" s="1"/>
      <c r="Q5" s="2"/>
      <c r="R5" s="1"/>
    </row>
    <row r="6" spans="1:18" s="2" customFormat="1" ht="64.5" customHeight="1" x14ac:dyDescent="0.25">
      <c r="A6"/>
      <c r="B6" s="8"/>
      <c r="C6" s="8"/>
      <c r="D6" s="8"/>
      <c r="E6" s="8"/>
      <c r="F6" s="8"/>
      <c r="G6" s="9"/>
      <c r="H6" s="9"/>
      <c r="I6" s="3"/>
    </row>
    <row r="7" spans="1:18" ht="15" customHeight="1" x14ac:dyDescent="0.25">
      <c r="A7"/>
      <c r="B7" s="16">
        <f>IF(DAY(ČvcNe1)=1,IF(AND(YEAR(ČvcNe1+1)=KalendářníRok,MONTH(ČvcNe1+1)=7),ČvcNe1+1,""),IF(AND(YEAR(ČvcNe1+8)=KalendářníRok,MONTH(ČvcNe1+8)=7),ČvcNe1+8,""))</f>
        <v>43283</v>
      </c>
      <c r="C7" s="16">
        <f>IF(DAY(ČvcNe1)=1,IF(AND(YEAR(ČvcNe1+2)=KalendářníRok,MONTH(ČvcNe1+2)=7),ČvcNe1+2,""),IF(AND(YEAR(ČvcNe1+9)=KalendářníRok,MONTH(ČvcNe1+9)=7),ČvcNe1+9,""))</f>
        <v>43284</v>
      </c>
      <c r="D7" s="16">
        <f>IF(DAY(ČvcNe1)=1,IF(AND(YEAR(ČvcNe1+3)=KalendářníRok,MONTH(ČvcNe1+3)=7),ČvcNe1+3,""),IF(AND(YEAR(ČvcNe1+10)=KalendářníRok,MONTH(ČvcNe1+10)=7),ČvcNe1+10,""))</f>
        <v>43285</v>
      </c>
      <c r="E7" s="16">
        <f>IF(DAY(ČvcNe1)=1,IF(AND(YEAR(ČvcNe1+4)=KalendářníRok,MONTH(ČvcNe1+4)=7),ČvcNe1+4,""),IF(AND(YEAR(ČvcNe1+11)=KalendářníRok,MONTH(ČvcNe1+11)=7),ČvcNe1+11,""))</f>
        <v>43286</v>
      </c>
      <c r="F7" s="16">
        <f>IF(DAY(ČvcNe1)=1,IF(AND(YEAR(ČvcNe1+5)=KalendářníRok,MONTH(ČvcNe1+5)=7),ČvcNe1+5,""),IF(AND(YEAR(ČvcNe1+12)=KalendářníRok,MONTH(ČvcNe1+12)=7),ČvcNe1+12,""))</f>
        <v>43287</v>
      </c>
      <c r="G7" s="16">
        <f>IF(DAY(ČvcNe1)=1,IF(AND(YEAR(ČvcNe1+6)=KalendářníRok,MONTH(ČvcNe1+6)=7),ČvcNe1+6,""),IF(AND(YEAR(ČvcNe1+13)=KalendářníRok,MONTH(ČvcNe1+13)=7),ČvcNe1+13,""))</f>
        <v>43288</v>
      </c>
      <c r="H7" s="16">
        <f>IF(DAY(ČvcNe1)=1,IF(AND(YEAR(ČvcNe1+7)=KalendářníRok,MONTH(ČvcNe1+7)=7),ČvcNe1+7,""),IF(AND(YEAR(ČvcNe1+14)=KalendářníRok,MONTH(ČvcNe1+14)=7),ČvcNe1+14,""))</f>
        <v>43289</v>
      </c>
      <c r="I7" s="3"/>
    </row>
    <row r="8" spans="1:18" ht="64.5" customHeight="1" x14ac:dyDescent="0.25">
      <c r="A8"/>
      <c r="B8" s="10"/>
      <c r="C8" s="10"/>
      <c r="D8" s="10"/>
      <c r="E8" s="10"/>
      <c r="F8" s="10"/>
      <c r="G8" s="11"/>
      <c r="H8" s="11"/>
      <c r="I8" s="3"/>
    </row>
    <row r="9" spans="1:18" ht="15" customHeight="1" x14ac:dyDescent="0.25">
      <c r="A9"/>
      <c r="B9" s="17">
        <f>IF(DAY(ČvcNe1)=1,IF(AND(YEAR(ČvcNe1+8)=KalendářníRok,MONTH(ČvcNe1+8)=7),ČvcNe1+8,""),IF(AND(YEAR(ČvcNe1+15)=KalendářníRok,MONTH(ČvcNe1+15)=7),ČvcNe1+15,""))</f>
        <v>43290</v>
      </c>
      <c r="C9" s="17">
        <f>IF(DAY(ČvcNe1)=1,IF(AND(YEAR(ČvcNe1+9)=KalendářníRok,MONTH(ČvcNe1+9)=7),ČvcNe1+9,""),IF(AND(YEAR(ČvcNe1+16)=KalendářníRok,MONTH(ČvcNe1+16)=7),ČvcNe1+16,""))</f>
        <v>43291</v>
      </c>
      <c r="D9" s="17">
        <f>IF(DAY(ČvcNe1)=1,IF(AND(YEAR(ČvcNe1+10)=KalendářníRok,MONTH(ČvcNe1+10)=7),ČvcNe1+10,""),IF(AND(YEAR(ČvcNe1+17)=KalendářníRok,MONTH(ČvcNe1+17)=7),ČvcNe1+17,""))</f>
        <v>43292</v>
      </c>
      <c r="E9" s="17">
        <f>IF(DAY(ČvcNe1)=1,IF(AND(YEAR(ČvcNe1+11)=KalendářníRok,MONTH(ČvcNe1+11)=7),ČvcNe1+11,""),IF(AND(YEAR(ČvcNe1+18)=KalendářníRok,MONTH(ČvcNe1+18)=7),ČvcNe1+18,""))</f>
        <v>43293</v>
      </c>
      <c r="F9" s="17">
        <f>IF(DAY(ČvcNe1)=1,IF(AND(YEAR(ČvcNe1+12)=KalendářníRok,MONTH(ČvcNe1+12)=7),ČvcNe1+12,""),IF(AND(YEAR(ČvcNe1+19)=KalendářníRok,MONTH(ČvcNe1+19)=7),ČvcNe1+19,""))</f>
        <v>43294</v>
      </c>
      <c r="G9" s="17">
        <f>IF(DAY(ČvcNe1)=1,IF(AND(YEAR(ČvcNe1+13)=KalendářníRok,MONTH(ČvcNe1+13)=7),ČvcNe1+13,""),IF(AND(YEAR(ČvcNe1+20)=KalendářníRok,MONTH(ČvcNe1+20)=7),ČvcNe1+20,""))</f>
        <v>43295</v>
      </c>
      <c r="H9" s="17">
        <f>IF(DAY(ČvcNe1)=1,IF(AND(YEAR(ČvcNe1+14)=KalendářníRok,MONTH(ČvcNe1+14)=7),ČvcNe1+14,""),IF(AND(YEAR(ČvcNe1+21)=KalendářníRok,MONTH(ČvcNe1+21)=7),ČvcNe1+21,""))</f>
        <v>43296</v>
      </c>
      <c r="I9" s="3"/>
    </row>
    <row r="10" spans="1:18" ht="64.5" customHeight="1" x14ac:dyDescent="0.25">
      <c r="A10"/>
      <c r="B10" s="8"/>
      <c r="C10" s="8"/>
      <c r="D10" s="8"/>
      <c r="E10" s="8"/>
      <c r="F10" s="8"/>
      <c r="G10" s="9"/>
      <c r="H10" s="9"/>
      <c r="I10" s="3"/>
    </row>
    <row r="11" spans="1:18" ht="15" customHeight="1" x14ac:dyDescent="0.25">
      <c r="A11"/>
      <c r="B11" s="18">
        <f>IF(DAY(ČvcNe1)=1,IF(AND(YEAR(ČvcNe1+15)=KalendářníRok,MONTH(ČvcNe1+15)=7),ČvcNe1+15,""),IF(AND(YEAR(ČvcNe1+22)=KalendářníRok,MONTH(ČvcNe1+22)=7),ČvcNe1+22,""))</f>
        <v>43297</v>
      </c>
      <c r="C11" s="18">
        <f>IF(DAY(ČvcNe1)=1,IF(AND(YEAR(ČvcNe1+16)=KalendářníRok,MONTH(ČvcNe1+16)=7),ČvcNe1+16,""),IF(AND(YEAR(ČvcNe1+23)=KalendářníRok,MONTH(ČvcNe1+23)=7),ČvcNe1+23,""))</f>
        <v>43298</v>
      </c>
      <c r="D11" s="18">
        <f>IF(DAY(ČvcNe1)=1,IF(AND(YEAR(ČvcNe1+17)=KalendářníRok,MONTH(ČvcNe1+17)=7),ČvcNe1+17,""),IF(AND(YEAR(ČvcNe1+24)=KalendářníRok,MONTH(ČvcNe1+24)=7),ČvcNe1+24,""))</f>
        <v>43299</v>
      </c>
      <c r="E11" s="18">
        <f>IF(DAY(ČvcNe1)=1,IF(AND(YEAR(ČvcNe1+18)=KalendářníRok,MONTH(ČvcNe1+18)=7),ČvcNe1+18,""),IF(AND(YEAR(ČvcNe1+25)=KalendářníRok,MONTH(ČvcNe1+25)=7),ČvcNe1+25,""))</f>
        <v>43300</v>
      </c>
      <c r="F11" s="18">
        <f>IF(DAY(ČvcNe1)=1,IF(AND(YEAR(ČvcNe1+19)=KalendářníRok,MONTH(ČvcNe1+19)=7),ČvcNe1+19,""),IF(AND(YEAR(ČvcNe1+26)=KalendářníRok,MONTH(ČvcNe1+26)=7),ČvcNe1+26,""))</f>
        <v>43301</v>
      </c>
      <c r="G11" s="18">
        <f>IF(DAY(ČvcNe1)=1,IF(AND(YEAR(ČvcNe1+20)=KalendářníRok,MONTH(ČvcNe1+20)=7),ČvcNe1+20,""),IF(AND(YEAR(ČvcNe1+27)=KalendářníRok,MONTH(ČvcNe1+27)=7),ČvcNe1+27,""))</f>
        <v>43302</v>
      </c>
      <c r="H11" s="18">
        <f>IF(DAY(ČvcNe1)=1,IF(AND(YEAR(ČvcNe1+21)=KalendářníRok,MONTH(ČvcNe1+21)=7),ČvcNe1+21,""),IF(AND(YEAR(ČvcNe1+28)=KalendářníRok,MONTH(ČvcNe1+28)=7),ČvcNe1+28,""))</f>
        <v>43303</v>
      </c>
      <c r="I11" s="3"/>
    </row>
    <row r="12" spans="1:18" ht="64.5" customHeight="1" x14ac:dyDescent="0.25">
      <c r="A12"/>
      <c r="B12" s="10"/>
      <c r="C12" s="10"/>
      <c r="D12" s="10"/>
      <c r="E12" s="10"/>
      <c r="F12" s="10"/>
      <c r="G12" s="11"/>
      <c r="H12" s="11"/>
      <c r="I12" s="3"/>
    </row>
    <row r="13" spans="1:18" ht="15" customHeight="1" x14ac:dyDescent="0.25">
      <c r="A13"/>
      <c r="B13" s="17">
        <f>IF(DAY(ČvcNe1)=1,IF(AND(YEAR(ČvcNe1+22)=KalendářníRok,MONTH(ČvcNe1+22)=7),ČvcNe1+22,""),IF(AND(YEAR(ČvcNe1+29)=KalendářníRok,MONTH(ČvcNe1+29)=7),ČvcNe1+29,""))</f>
        <v>43304</v>
      </c>
      <c r="C13" s="17">
        <f>IF(DAY(ČvcNe1)=1,IF(AND(YEAR(ČvcNe1+23)=KalendářníRok,MONTH(ČvcNe1+23)=7),ČvcNe1+23,""),IF(AND(YEAR(ČvcNe1+30)=KalendářníRok,MONTH(ČvcNe1+30)=7),ČvcNe1+30,""))</f>
        <v>43305</v>
      </c>
      <c r="D13" s="17">
        <f>IF(DAY(ČvcNe1)=1,IF(AND(YEAR(ČvcNe1+24)=KalendářníRok,MONTH(ČvcNe1+24)=7),ČvcNe1+24,""),IF(AND(YEAR(ČvcNe1+31)=KalendářníRok,MONTH(ČvcNe1+31)=7),ČvcNe1+31,""))</f>
        <v>43306</v>
      </c>
      <c r="E13" s="17">
        <f>IF(DAY(ČvcNe1)=1,IF(AND(YEAR(ČvcNe1+25)=KalendářníRok,MONTH(ČvcNe1+25)=7),ČvcNe1+25,""),IF(AND(YEAR(ČvcNe1+32)=KalendářníRok,MONTH(ČvcNe1+32)=7),ČvcNe1+32,""))</f>
        <v>43307</v>
      </c>
      <c r="F13" s="17">
        <f>IF(DAY(ČvcNe1)=1,IF(AND(YEAR(ČvcNe1+26)=KalendářníRok,MONTH(ČvcNe1+26)=7),ČvcNe1+26,""),IF(AND(YEAR(ČvcNe1+33)=KalendářníRok,MONTH(ČvcNe1+33)=7),ČvcNe1+33,""))</f>
        <v>43308</v>
      </c>
      <c r="G13" s="17">
        <f>IF(DAY(ČvcNe1)=1,IF(AND(YEAR(ČvcNe1+27)=KalendářníRok,MONTH(ČvcNe1+27)=7),ČvcNe1+27,""),IF(AND(YEAR(ČvcNe1+34)=KalendářníRok,MONTH(ČvcNe1+34)=7),ČvcNe1+34,""))</f>
        <v>43309</v>
      </c>
      <c r="H13" s="17">
        <f>IF(DAY(ČvcNe1)=1,IF(AND(YEAR(ČvcNe1+28)=KalendářníRok,MONTH(ČvcNe1+28)=7),ČvcNe1+28,""),IF(AND(YEAR(ČvcNe1+35)=KalendářníRok,MONTH(ČvcNe1+35)=7),ČvcNe1+35,""))</f>
        <v>43310</v>
      </c>
      <c r="I13" s="3"/>
    </row>
    <row r="14" spans="1:18" ht="64.5" customHeight="1" x14ac:dyDescent="0.25">
      <c r="A14"/>
      <c r="B14" s="8"/>
      <c r="C14" s="8"/>
      <c r="D14" s="8"/>
      <c r="E14" s="8"/>
      <c r="F14" s="8"/>
      <c r="G14" s="9"/>
      <c r="H14" s="9"/>
      <c r="I14" s="3"/>
    </row>
    <row r="15" spans="1:18" ht="15" customHeight="1" x14ac:dyDescent="0.25">
      <c r="A15"/>
      <c r="B15" s="18">
        <f>IF(DAY(ČvcNe1)=1,IF(AND(YEAR(ČvcNe1+29)=KalendářníRok,MONTH(ČvcNe1+29)=7),ČvcNe1+29,""),IF(AND(YEAR(ČvcNe1+36)=KalendářníRok,MONTH(ČvcNe1+36)=7),ČvcNe1+36,""))</f>
        <v>43311</v>
      </c>
      <c r="C15" s="19">
        <f>IF(DAY(ČvcNe1)=1,IF(AND(YEAR(ČvcNe1+30)=KalendářníRok,MONTH(ČvcNe1+30)=7),ČvcNe1+30,""),IF(AND(YEAR(ČvcNe1+37)=KalendářníRok,MONTH(ČvcNe1+37)=7),ČvcNe1+37,""))</f>
        <v>43312</v>
      </c>
      <c r="D15" s="33" t="s">
        <v>7</v>
      </c>
      <c r="E15" s="34"/>
      <c r="F15" s="34"/>
      <c r="G15" s="34"/>
      <c r="H15" s="35"/>
      <c r="I15" s="3"/>
    </row>
    <row r="16" spans="1:18" ht="64.5" customHeight="1" x14ac:dyDescent="0.25">
      <c r="A16"/>
      <c r="B16" s="10"/>
      <c r="C16" s="10"/>
      <c r="D16" s="30"/>
      <c r="E16" s="31"/>
      <c r="F16" s="31"/>
      <c r="G16" s="31"/>
      <c r="H16" s="32"/>
      <c r="I16" s="3"/>
    </row>
    <row r="17" spans="3:5" ht="17.25" customHeight="1" x14ac:dyDescent="0.2"/>
    <row r="19" spans="3:5" ht="21" customHeight="1" x14ac:dyDescent="0.25">
      <c r="C19" s="6"/>
      <c r="D19" s="5"/>
      <c r="E19" s="4"/>
    </row>
    <row r="20" spans="3:5" ht="19.5" customHeight="1" x14ac:dyDescent="0.2"/>
  </sheetData>
  <mergeCells count="3">
    <mergeCell ref="B3:F3"/>
    <mergeCell ref="D15:H15"/>
    <mergeCell ref="D16:H16"/>
  </mergeCells>
  <printOptions horizontalCentered="1" verticalCentered="1"/>
  <pageMargins left="0.2" right="0.2" top="0.25" bottom="0.25" header="0" footer="0"/>
  <pageSetup paperSize="9" scale="93" orientation="landscape"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0BE4E2F-F9E2-47EA-9749-00C2632BC6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14</vt:i4>
      </vt:variant>
      <vt:variant>
        <vt:lpstr>Pojmenované oblasti</vt:lpstr>
      </vt:variant>
      <vt:variant>
        <vt:i4>13</vt:i4>
      </vt:variant>
    </vt:vector>
  </HeadingPairs>
  <TitlesOfParts>
    <vt:vector size="27" baseType="lpstr">
      <vt:lpstr>Leden</vt:lpstr>
      <vt:lpstr>List1</vt:lpstr>
      <vt:lpstr>List2</vt:lpstr>
      <vt:lpstr>Únor</vt:lpstr>
      <vt:lpstr>Březen</vt:lpstr>
      <vt:lpstr>Duben</vt:lpstr>
      <vt:lpstr>Květen</vt:lpstr>
      <vt:lpstr>Červen</vt:lpstr>
      <vt:lpstr>Červenec</vt:lpstr>
      <vt:lpstr>Srpen</vt:lpstr>
      <vt:lpstr>Září</vt:lpstr>
      <vt:lpstr>Říjen</vt:lpstr>
      <vt:lpstr>Listopad</vt:lpstr>
      <vt:lpstr>Prosinec</vt:lpstr>
      <vt:lpstr>KalendářníRok</vt:lpstr>
      <vt:lpstr>Březen!Oblast_tisku</vt:lpstr>
      <vt:lpstr>Červen!Oblast_tisku</vt:lpstr>
      <vt:lpstr>Červenec!Oblast_tisku</vt:lpstr>
      <vt:lpstr>Duben!Oblast_tisku</vt:lpstr>
      <vt:lpstr>Květen!Oblast_tisku</vt:lpstr>
      <vt:lpstr>Leden!Oblast_tisku</vt:lpstr>
      <vt:lpstr>Listopad!Oblast_tisku</vt:lpstr>
      <vt:lpstr>Prosinec!Oblast_tisku</vt:lpstr>
      <vt:lpstr>Říjen!Oblast_tisku</vt:lpstr>
      <vt:lpstr>Srpen!Oblast_tisku</vt:lpstr>
      <vt:lpstr>Únor!Oblast_tisku</vt:lpstr>
      <vt:lpstr>Září!Oblast_tisku</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klient</dc:creator>
  <cp:keywords/>
  <cp:lastModifiedBy>klient</cp:lastModifiedBy>
  <cp:lastPrinted>2018-02-16T13:29:13Z</cp:lastPrinted>
  <dcterms:modified xsi:type="dcterms:W3CDTF">2018-02-16T14:03:46Z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TC034580769991</vt:lpwstr>
  </property>
</Properties>
</file>